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ANNUAL RFP Materials\To Zip\Appendix C. excel Scorecards\"/>
    </mc:Choice>
  </mc:AlternateContent>
  <xr:revisionPtr revIDLastSave="0" documentId="13_ncr:1_{18A82329-C3E8-4174-A2EE-653D0ADFA35F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PSH-DV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7" i="7" l="1"/>
  <c r="I114" i="7" l="1"/>
  <c r="H114" i="7"/>
  <c r="H111" i="7" l="1"/>
  <c r="H112" i="7" s="1"/>
  <c r="H106" i="7"/>
  <c r="H105" i="7"/>
  <c r="H100" i="7"/>
  <c r="H101" i="7" s="1"/>
  <c r="I96" i="7"/>
  <c r="H95" i="7"/>
  <c r="H94" i="7"/>
  <c r="H93" i="7"/>
  <c r="H92" i="7"/>
  <c r="A89" i="7"/>
  <c r="H85" i="7"/>
  <c r="F85" i="7"/>
  <c r="H82" i="7"/>
  <c r="F82" i="7"/>
  <c r="H81" i="7"/>
  <c r="H79" i="7"/>
  <c r="F79" i="7"/>
  <c r="I75" i="7"/>
  <c r="H74" i="7"/>
  <c r="H73" i="7"/>
  <c r="H72" i="7"/>
  <c r="H71" i="7"/>
  <c r="H67" i="7"/>
  <c r="F67" i="7"/>
  <c r="H62" i="7"/>
  <c r="D57" i="7"/>
  <c r="F56" i="7"/>
  <c r="H55" i="7" s="1"/>
  <c r="D56" i="7"/>
  <c r="D55" i="7"/>
  <c r="D54" i="7"/>
  <c r="F53" i="7"/>
  <c r="H50" i="7" s="1"/>
  <c r="D53" i="7"/>
  <c r="D50" i="7"/>
  <c r="I45" i="7"/>
  <c r="H44" i="7"/>
  <c r="G44" i="7"/>
  <c r="H43" i="7"/>
  <c r="G43" i="7"/>
  <c r="H42" i="7"/>
  <c r="G42" i="7"/>
  <c r="I38" i="7"/>
  <c r="H37" i="7"/>
  <c r="G37" i="7"/>
  <c r="H36" i="7"/>
  <c r="G36" i="7"/>
  <c r="H35" i="7"/>
  <c r="G35" i="7"/>
  <c r="I31" i="7"/>
  <c r="H30" i="7"/>
  <c r="G30" i="7"/>
  <c r="H29" i="7"/>
  <c r="H31" i="7" s="1"/>
  <c r="G29" i="7"/>
  <c r="H28" i="7"/>
  <c r="G28" i="7"/>
  <c r="I24" i="7"/>
  <c r="H23" i="7"/>
  <c r="G23" i="7"/>
  <c r="H22" i="7"/>
  <c r="H24" i="7" s="1"/>
  <c r="G22" i="7"/>
  <c r="H21" i="7"/>
  <c r="G21" i="7"/>
  <c r="I17" i="7"/>
  <c r="F16" i="7"/>
  <c r="H16" i="7" s="1"/>
  <c r="H15" i="7"/>
  <c r="F15" i="7"/>
  <c r="G13" i="7"/>
  <c r="F13" i="7"/>
  <c r="C13" i="7"/>
  <c r="H13" i="7" s="1"/>
  <c r="H45" i="7" l="1"/>
  <c r="H46" i="7" s="1"/>
  <c r="H38" i="7"/>
  <c r="H75" i="7"/>
  <c r="H96" i="7"/>
  <c r="H88" i="7"/>
  <c r="H58" i="7"/>
  <c r="H17" i="7"/>
  <c r="H115" i="7" l="1"/>
</calcChain>
</file>

<file path=xl/sharedStrings.xml><?xml version="1.0" encoding="utf-8"?>
<sst xmlns="http://schemas.openxmlformats.org/spreadsheetml/2006/main" count="265" uniqueCount="147">
  <si>
    <t xml:space="preserve">Agency Name: </t>
  </si>
  <si>
    <t>Project Name:</t>
  </si>
  <si>
    <t>Where to Reference on APR</t>
  </si>
  <si>
    <t>Your Answer</t>
  </si>
  <si>
    <t>Total number of Persons Served</t>
  </si>
  <si>
    <t>APR: Q5a</t>
  </si>
  <si>
    <t>Total number of adults</t>
  </si>
  <si>
    <t>Total leavers</t>
  </si>
  <si>
    <t>Total number of adult leavers</t>
  </si>
  <si>
    <t>Number of Households to be served at a Point in Time from the 2021 Project Application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</si>
  <si>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</si>
  <si>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</si>
  <si>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</si>
  <si>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</si>
  <si>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</si>
  <si>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</si>
  <si>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</si>
  <si>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</si>
  <si>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</si>
  <si>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entries from homeless situations</t>
  </si>
  <si>
    <t>APR: Q15, "Total", minus "Subtotal" from "Other Locations"</t>
  </si>
  <si>
    <t>Percentage of Participants coming from unsheltered locations</t>
  </si>
  <si>
    <t>&gt;40%</t>
  </si>
  <si>
    <t>APR: Q15 "Place not meant for habitation" Column 1 Row 3 "Total"</t>
  </si>
  <si>
    <t>Percent of adults with no income at entry</t>
  </si>
  <si>
    <t>APR Q16 "No Income"  Column 1 Row 1 "Income at Start"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</si>
  <si>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</si>
  <si>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</si>
  <si>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</si>
  <si>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</si>
  <si>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</si>
  <si>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</si>
  <si>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APR: Q19a1, Row 1,  Column '9" Percent of Persons who accomplished this measure"</t>
  </si>
  <si>
    <t>Percent participants age 18 or older with increased non-employment income at Annual Assessment</t>
  </si>
  <si>
    <t>APR: Q19a1, Row 3,   Column '9" Percent of Persons who accomplished this measure"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</si>
  <si>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</si>
  <si>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</si>
  <si>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</si>
  <si>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</si>
  <si>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</si>
  <si>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</si>
  <si>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</si>
  <si>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</si>
  <si>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</si>
  <si>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</si>
  <si>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15-17%</t>
  </si>
  <si>
    <t>20-25%</t>
  </si>
  <si>
    <t>25-30%</t>
  </si>
  <si>
    <t>Access to Income-Leavers -RRH</t>
  </si>
  <si>
    <t>Percent participants age 18 or older with earned income at exit</t>
  </si>
  <si>
    <t>15-18%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</si>
  <si>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</si>
  <si>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</si>
  <si>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</si>
  <si>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</si>
  <si>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≥79%</t>
  </si>
  <si>
    <t>PSH: Percent participants who remained in project as of the end of the operating year or exited to PH during the operating year</t>
  </si>
  <si>
    <t>≥95%</t>
  </si>
  <si>
    <t>Housing Stability Total Score</t>
  </si>
  <si>
    <t>Meeting Community Need</t>
  </si>
  <si>
    <t>Of participants enrolled during the reporting period, is the average participant housed in less than 30 days?</t>
  </si>
  <si>
    <t>APR: Q22c Row 10, "Average length of time to housing" Total</t>
  </si>
  <si>
    <t>What is the Project's Average Daily bed utilization</t>
  </si>
  <si>
    <t>APR: Q08b "January" Total</t>
  </si>
  <si>
    <t>APR: Q08b "April" Total</t>
  </si>
  <si>
    <t>APR: Q08b "July" Total</t>
  </si>
  <si>
    <t>APR: Q08b "October" Total</t>
  </si>
  <si>
    <t>How does the Agency engage those with Lived Expertise?</t>
  </si>
  <si>
    <t>5pts</t>
  </si>
  <si>
    <t>1pt for each action identified</t>
  </si>
  <si>
    <t>How does the Agency implement the Equal Access Rule?</t>
  </si>
  <si>
    <t>How is the Agency addressing Racial Disparities at the Agency-level?</t>
  </si>
  <si>
    <t>Meeting Community Need Total Score</t>
  </si>
  <si>
    <t>Cost Effectiveness</t>
  </si>
  <si>
    <t>Does the total amount of unspent program funds from the most recently completed grant term total greater then 10% of total project awards?</t>
  </si>
  <si>
    <t>&gt;5% unspent funds</t>
  </si>
  <si>
    <t>Verify in Sage: Total funds awarded from the most recent grant term</t>
  </si>
  <si>
    <t>0-5% = 20 points
&gt;5-10% = 5 points
&gt;10% = 0 points</t>
  </si>
  <si>
    <t>Verify in Sage: Total amount of funds unspent during the last grant term</t>
  </si>
  <si>
    <t>Money Recaptured by HUD within the last 5 years?</t>
  </si>
  <si>
    <t>No</t>
  </si>
  <si>
    <t>Yes = -10 points
No = 0 points</t>
  </si>
  <si>
    <t xml:space="preserve">RRH: What Percentage of the Support Service Budget line is spent on negative housing outcomes? </t>
  </si>
  <si>
    <t>&lt;2%</t>
  </si>
  <si>
    <t>APR 23c "Persons exiting to positive housing destinations"</t>
  </si>
  <si>
    <t>0-10% = 15 points
&gt;10-13% =7.5 points
&gt;13% = 0</t>
  </si>
  <si>
    <t>APR 23c "Persons whose destinations excluded from calculation"</t>
  </si>
  <si>
    <t xml:space="preserve">Total Support Service BLI or 25% of the Total 2020 Award,  whichever is greater </t>
  </si>
  <si>
    <t xml:space="preserve">PSH: What Percentage of the Support Service Budget line is spent on negative housing outcomes? </t>
  </si>
  <si>
    <t xml:space="preserve">Total Support Service BLI or 25% of the Total 2021 Award,  whichever is greater </t>
  </si>
  <si>
    <t>Cost Effectiveness Total Score</t>
  </si>
  <si>
    <t>HMIS Data Quality</t>
  </si>
  <si>
    <t>Any Universal Data Elements with error rate larger than 5% (Except for SSN)</t>
  </si>
  <si>
    <t>APR: Q06a, and 06b.  The Data element with the largest error rate should be used for this metric.  Ignore Social Security Number</t>
  </si>
  <si>
    <t>Any missing Financial Assessment at Project Entry?</t>
  </si>
  <si>
    <t>APR: Q06c "Income and Sources at Start" "Error Count"</t>
  </si>
  <si>
    <t>Any missing Financial Assessment at Annual Assessments?</t>
  </si>
  <si>
    <t>APR: Q06c "Income and Sources at Annual Assessment" "Error Count"</t>
  </si>
  <si>
    <t>Any missing Financial Assessment at Project Exit?</t>
  </si>
  <si>
    <t>APR: Q06c "Income and Sources at Exit" "Error Count"</t>
  </si>
  <si>
    <t>HMIS Data Quality Total Score</t>
  </si>
  <si>
    <t>Coordinated Entry Participation</t>
  </si>
  <si>
    <t>All participants enrolled after January 23rd, 2018 have a Coordinated Entry Enrollment</t>
  </si>
  <si>
    <t>HMIS Report</t>
  </si>
  <si>
    <t>100-75% = 10 Points
&lt;75-50% = 5 points
&lt;50-25% = 2.5 points
&lt;25-0% = 0 points</t>
  </si>
  <si>
    <t>Coordinated Entry Participation Total Score</t>
  </si>
  <si>
    <t>General Administration</t>
  </si>
  <si>
    <t>Applicant had findings in a HUD or TDHCA audit in the last 3 years</t>
  </si>
  <si>
    <t>Monitoring Certification</t>
  </si>
  <si>
    <t>0 findings = 0 Points
1-3 findings =-5 Points
4+ findings = -10 Points</t>
  </si>
  <si>
    <t>Yes</t>
  </si>
  <si>
    <t>Federal Audit Clearinghouse</t>
  </si>
  <si>
    <t>Yes = 0
No = -5
N/A = 0</t>
  </si>
  <si>
    <t>Supplemental Project Narrative Total Score</t>
  </si>
  <si>
    <t>Prioritization Fidelity</t>
  </si>
  <si>
    <t>Does the Applicant have access to the Coordinated Entry workflow in HMIS or the equivalent DV workaround in HMIS?</t>
  </si>
  <si>
    <t xml:space="preserve">Yes </t>
  </si>
  <si>
    <t>Coordinated Entry Regional P&amp;Ps</t>
  </si>
  <si>
    <t>Yes = 10                                               No = 0</t>
  </si>
  <si>
    <t>Prioritization Fidelity Total Score</t>
  </si>
  <si>
    <t>Total Score</t>
  </si>
  <si>
    <t>Cumulative Score out of 100%</t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</si>
  <si>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</si>
  <si>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</si>
  <si>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100-40% = 10 points
</t>
    </r>
    <r>
      <rPr>
        <sz val="12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40-30% = 7.5 points
</t>
    </r>
    <r>
      <rPr>
        <sz val="12"/>
        <color theme="1"/>
        <rFont val="Calibri"/>
        <family val="2"/>
      </rPr>
      <t>&lt;30</t>
    </r>
    <r>
      <rPr>
        <sz val="11"/>
        <color theme="1"/>
        <rFont val="Calibri"/>
        <family val="2"/>
        <scheme val="minor"/>
      </rPr>
      <t>% = 0 points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</si>
  <si>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</si>
  <si>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</si>
  <si>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</si>
  <si>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</si>
  <si>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</si>
  <si>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</si>
  <si>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</si>
  <si>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</si>
  <si>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0% = 7.5 points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0-2% = 5 points  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2-5% = 2.5 points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>5% = 0 points</t>
    </r>
  </si>
  <si>
    <r>
      <t xml:space="preserve">0 = 7.5 points                                                 </t>
    </r>
    <r>
      <rPr>
        <sz val="12"/>
        <rFont val="Calibri"/>
        <family val="2"/>
      </rPr>
      <t>1</t>
    </r>
    <r>
      <rPr>
        <sz val="12"/>
        <rFont val="Calibri"/>
        <family val="2"/>
        <scheme val="minor"/>
      </rPr>
      <t xml:space="preserve"> = 5 points                                                           </t>
    </r>
    <r>
      <rPr>
        <sz val="12"/>
        <rFont val="Calibri"/>
        <family val="2"/>
        <scheme val="minor"/>
      </rPr>
      <t>2-4 = 2.5 points                                                         5+ = 0 points</t>
    </r>
  </si>
  <si>
    <t>PSH-DV</t>
  </si>
  <si>
    <t>Renewal Narrative, Q1</t>
  </si>
  <si>
    <t>Renewal Narrative, Q2</t>
  </si>
  <si>
    <t>How does the Agency meet the needs of LGBTQIA persons experiencing homelessness?</t>
  </si>
  <si>
    <t>Renewal Narrative, Q4</t>
  </si>
  <si>
    <t>Renewal Narrative, Q3</t>
  </si>
  <si>
    <t>Reference FY21 e-snaps Screen 4B, Total Units)</t>
  </si>
  <si>
    <t>&gt;50%</t>
  </si>
  <si>
    <t>&gt;10%</t>
  </si>
  <si>
    <t>75-100%</t>
  </si>
  <si>
    <t>If Applicant is subject to Single Financial Audit requirements identified in 2 CFR Part 200.501, did Applicant comply with audit requirements?(i.e. Any late submissions in previous 5 years?)</t>
  </si>
  <si>
    <t>2022 Texas Balance of State Continuum of Care Renewal Project Score Card- Permanent Supportive Housing- DV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</si>
</sst>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1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165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Protection="1"/>
    <xf numFmtId="0" fontId="4" fillId="0" borderId="10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top" wrapText="1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5" fillId="0" borderId="15" xfId="0" applyFont="1" applyFill="1" applyBorder="1" applyAlignment="1" applyProtection="1">
      <alignment horizontal="center" vertical="center" wrapText="1" shrinkToFi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12" fillId="0" borderId="0" xfId="0" applyFont="1" applyFill="1" applyProtection="1"/>
    <xf numFmtId="0" fontId="13" fillId="0" borderId="0" xfId="0" applyFont="1" applyAlignment="1" applyProtection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vertical="center" wrapText="1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2" fillId="2" borderId="0" xfId="0" applyFont="1" applyFill="1" applyProtection="1"/>
    <xf numFmtId="9" fontId="15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1" fontId="0" fillId="3" borderId="15" xfId="1" applyNumberFormat="1" applyFont="1" applyFill="1" applyBorder="1" applyAlignment="1" applyProtection="1">
      <alignment horizontal="center" vertical="center"/>
    </xf>
    <xf numFmtId="0" fontId="17" fillId="0" borderId="0" xfId="0" applyFont="1" applyFill="1" applyAlignment="1" applyProtection="1"/>
    <xf numFmtId="0" fontId="1" fillId="2" borderId="15" xfId="0" applyFont="1" applyFill="1" applyBorder="1" applyAlignment="1" applyProtection="1">
      <alignment horizontal="center" vertical="center" wrapText="1"/>
    </xf>
    <xf numFmtId="0" fontId="7" fillId="4" borderId="11" xfId="0" applyFont="1" applyFill="1" applyBorder="1" applyAlignment="1" applyProtection="1">
      <alignment horizontal="right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9" fillId="0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 wrapText="1" shrinkToFit="1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" fontId="0" fillId="8" borderId="15" xfId="0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vertical="center" wrapText="1" shrinkToFit="1"/>
    </xf>
    <xf numFmtId="0" fontId="11" fillId="2" borderId="15" xfId="0" applyFont="1" applyFill="1" applyBorder="1" applyAlignment="1" applyProtection="1">
      <alignment horizontal="center" vertical="center" wrapText="1"/>
    </xf>
    <xf numFmtId="0" fontId="9" fillId="5" borderId="15" xfId="0" applyFont="1" applyFill="1" applyBorder="1" applyAlignment="1" applyProtection="1">
      <alignment horizontal="center" vertical="center" wrapText="1" shrinkToFit="1"/>
    </xf>
    <xf numFmtId="0" fontId="0" fillId="0" borderId="15" xfId="0" applyFont="1" applyFill="1" applyBorder="1" applyAlignment="1" applyProtection="1">
      <alignment horizontal="center" wrapText="1"/>
    </xf>
    <xf numFmtId="0" fontId="11" fillId="8" borderId="15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 shrinkToFit="1"/>
    </xf>
    <xf numFmtId="0" fontId="19" fillId="5" borderId="11" xfId="0" applyFont="1" applyFill="1" applyBorder="1" applyAlignment="1" applyProtection="1">
      <alignment vertical="top" wrapText="1"/>
    </xf>
    <xf numFmtId="0" fontId="19" fillId="5" borderId="22" xfId="0" applyFont="1" applyFill="1" applyBorder="1" applyAlignment="1" applyProtection="1">
      <alignment vertical="top" wrapText="1"/>
    </xf>
    <xf numFmtId="0" fontId="19" fillId="5" borderId="2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center" wrapText="1"/>
    </xf>
    <xf numFmtId="9" fontId="5" fillId="2" borderId="15" xfId="0" applyNumberFormat="1" applyFont="1" applyFill="1" applyBorder="1" applyAlignment="1" applyProtection="1">
      <alignment horizontal="center" vertical="center" wrapText="1"/>
    </xf>
    <xf numFmtId="0" fontId="20" fillId="2" borderId="15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2" xfId="0" applyNumberFormat="1" applyFont="1" applyFill="1" applyBorder="1" applyAlignment="1" applyProtection="1">
      <alignment vertical="center"/>
    </xf>
    <xf numFmtId="0" fontId="8" fillId="7" borderId="23" xfId="0" applyNumberFormat="1" applyFont="1" applyFill="1" applyBorder="1" applyAlignment="1" applyProtection="1">
      <alignment vertical="center"/>
    </xf>
    <xf numFmtId="0" fontId="8" fillId="7" borderId="35" xfId="0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vertical="center" wrapText="1"/>
    </xf>
    <xf numFmtId="0" fontId="14" fillId="2" borderId="22" xfId="0" applyFont="1" applyFill="1" applyBorder="1" applyAlignment="1" applyProtection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vertical="top" wrapText="1"/>
    </xf>
    <xf numFmtId="0" fontId="8" fillId="0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horizontal="center" vertical="center"/>
    </xf>
    <xf numFmtId="0" fontId="7" fillId="4" borderId="37" xfId="0" applyFont="1" applyFill="1" applyBorder="1" applyAlignment="1" applyProtection="1">
      <alignment horizontal="right" vertical="center"/>
    </xf>
    <xf numFmtId="10" fontId="23" fillId="2" borderId="38" xfId="0" applyNumberFormat="1" applyFont="1" applyFill="1" applyBorder="1" applyAlignment="1" applyProtection="1">
      <alignment horizontal="center" vertical="center"/>
    </xf>
    <xf numFmtId="9" fontId="23" fillId="2" borderId="38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0" fontId="0" fillId="2" borderId="0" xfId="0" applyFont="1" applyFill="1" applyProtection="1">
      <protection locked="0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3" borderId="16" xfId="0" applyFont="1" applyFill="1" applyBorder="1" applyAlignment="1" applyProtection="1">
      <alignment horizontal="center" vertical="center" wrapText="1"/>
      <protection locked="0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6" xfId="0" applyNumberFormat="1" applyFont="1" applyFill="1" applyBorder="1" applyAlignment="1" applyProtection="1">
      <alignment horizontal="center"/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0" fillId="0" borderId="23" xfId="0" applyNumberFormat="1" applyFont="1" applyFill="1" applyBorder="1" applyAlignment="1" applyProtection="1">
      <alignment horizontal="center"/>
      <protection locked="0"/>
    </xf>
    <xf numFmtId="0" fontId="11" fillId="2" borderId="30" xfId="0" applyNumberFormat="1" applyFont="1" applyFill="1" applyBorder="1" applyAlignment="1" applyProtection="1">
      <alignment vertical="center"/>
    </xf>
    <xf numFmtId="0" fontId="11" fillId="2" borderId="12" xfId="0" applyNumberFormat="1" applyFont="1" applyFill="1" applyBorder="1" applyAlignment="1" applyProtection="1">
      <alignment vertical="center"/>
    </xf>
    <xf numFmtId="0" fontId="11" fillId="2" borderId="33" xfId="0" applyNumberFormat="1" applyFont="1" applyFill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</xf>
    <xf numFmtId="0" fontId="22" fillId="2" borderId="14" xfId="0" applyFont="1" applyFill="1" applyBorder="1" applyAlignment="1" applyProtection="1">
      <alignment horizontal="left" vertical="center"/>
    </xf>
    <xf numFmtId="0" fontId="24" fillId="2" borderId="16" xfId="0" applyFont="1" applyFill="1" applyBorder="1" applyAlignment="1" applyProtection="1">
      <alignment horizontal="center"/>
    </xf>
    <xf numFmtId="0" fontId="24" fillId="2" borderId="22" xfId="0" applyFont="1" applyFill="1" applyBorder="1" applyAlignment="1" applyProtection="1">
      <alignment horizontal="center"/>
    </xf>
    <xf numFmtId="0" fontId="24" fillId="2" borderId="23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left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left" vertical="center"/>
    </xf>
    <xf numFmtId="0" fontId="21" fillId="0" borderId="22" xfId="0" applyFont="1" applyFill="1" applyBorder="1" applyAlignment="1" applyProtection="1">
      <alignment horizontal="left" vertical="center"/>
    </xf>
    <xf numFmtId="0" fontId="21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0" fillId="4" borderId="13" xfId="0" applyFont="1" applyFill="1" applyBorder="1" applyAlignment="1" applyProtection="1">
      <alignment horizont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0" fontId="8" fillId="7" borderId="16" xfId="0" applyFont="1" applyFill="1" applyBorder="1" applyAlignment="1" applyProtection="1">
      <alignment horizontal="left" vertical="center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9" fillId="6" borderId="15" xfId="0" applyFont="1" applyFill="1" applyBorder="1" applyAlignment="1" applyProtection="1">
      <alignment horizontal="center" vertical="center"/>
    </xf>
    <xf numFmtId="164" fontId="0" fillId="3" borderId="16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left" vertical="center"/>
    </xf>
    <xf numFmtId="1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5" xfId="0" applyNumberFormat="1" applyFont="1" applyFill="1" applyBorder="1" applyAlignment="1" applyProtection="1">
      <alignment horizontal="center"/>
      <protection locked="0"/>
    </xf>
    <xf numFmtId="0" fontId="5" fillId="2" borderId="21" xfId="0" applyNumberFormat="1" applyFont="1" applyFill="1" applyBorder="1" applyAlignment="1" applyProtection="1">
      <alignment horizontal="center"/>
      <protection locked="0"/>
    </xf>
    <xf numFmtId="0" fontId="14" fillId="2" borderId="16" xfId="0" applyFont="1" applyFill="1" applyBorder="1" applyAlignment="1" applyProtection="1">
      <alignment horizontal="left" vertical="top" wrapText="1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center" vertical="center"/>
    </xf>
    <xf numFmtId="0" fontId="11" fillId="2" borderId="21" xfId="0" applyNumberFormat="1" applyFont="1" applyFill="1" applyBorder="1" applyAlignment="1" applyProtection="1">
      <alignment horizontal="center" vertical="center"/>
    </xf>
    <xf numFmtId="16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25" xfId="0" applyNumberFormat="1" applyFont="1" applyFill="1" applyBorder="1" applyAlignment="1" applyProtection="1">
      <alignment horizontal="center"/>
      <protection locked="0"/>
    </xf>
    <xf numFmtId="0" fontId="0" fillId="0" borderId="31" xfId="0" applyNumberFormat="1" applyFont="1" applyFill="1" applyBorder="1" applyAlignment="1" applyProtection="1">
      <alignment horizontal="center"/>
      <protection locked="0"/>
    </xf>
    <xf numFmtId="0" fontId="0" fillId="0" borderId="32" xfId="0" applyNumberFormat="1" applyFont="1" applyFill="1" applyBorder="1" applyAlignment="1" applyProtection="1">
      <alignment horizontal="center"/>
      <protection locked="0"/>
    </xf>
    <xf numFmtId="0" fontId="0" fillId="0" borderId="28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ont="1" applyFill="1" applyBorder="1" applyAlignment="1" applyProtection="1">
      <alignment horizontal="center"/>
      <protection locked="0"/>
    </xf>
    <xf numFmtId="0" fontId="0" fillId="0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NumberFormat="1" applyFont="1" applyFill="1" applyBorder="1" applyAlignment="1" applyProtection="1">
      <alignment horizontal="center"/>
      <protection locked="0"/>
    </xf>
    <xf numFmtId="0" fontId="11" fillId="2" borderId="15" xfId="0" applyNumberFormat="1" applyFont="1" applyFill="1" applyBorder="1" applyAlignment="1" applyProtection="1">
      <alignment vertical="center"/>
    </xf>
    <xf numFmtId="0" fontId="11" fillId="2" borderId="21" xfId="0" applyNumberFormat="1" applyFont="1" applyFill="1" applyBorder="1" applyAlignment="1" applyProtection="1">
      <alignment vertical="center"/>
    </xf>
    <xf numFmtId="0" fontId="5" fillId="0" borderId="15" xfId="0" applyFont="1" applyFill="1" applyBorder="1" applyAlignment="1" applyProtection="1">
      <alignment horizontal="left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164" fontId="16" fillId="0" borderId="24" xfId="1" applyNumberFormat="1" applyFont="1" applyFill="1" applyBorder="1" applyAlignment="1" applyProtection="1">
      <alignment horizontal="center" vertical="center"/>
    </xf>
    <xf numFmtId="164" fontId="16" fillId="0" borderId="27" xfId="1" applyNumberFormat="1" applyFont="1" applyFill="1" applyBorder="1" applyAlignment="1" applyProtection="1">
      <alignment horizontal="center" vertical="center"/>
    </xf>
    <xf numFmtId="164" fontId="16" fillId="0" borderId="19" xfId="1" applyNumberFormat="1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27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7" xfId="0" applyFont="1" applyFill="1" applyBorder="1" applyAlignment="1" applyProtection="1">
      <alignment horizontal="center" vertical="center"/>
    </xf>
    <xf numFmtId="0" fontId="11" fillId="8" borderId="19" xfId="0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164" fontId="16" fillId="0" borderId="24" xfId="1" applyNumberFormat="1" applyFont="1" applyFill="1" applyBorder="1" applyAlignment="1" applyProtection="1">
      <alignment horizontal="center" vertical="center"/>
      <protection locked="0"/>
    </xf>
    <xf numFmtId="164" fontId="16" fillId="0" borderId="27" xfId="1" applyNumberFormat="1" applyFont="1" applyFill="1" applyBorder="1" applyAlignment="1" applyProtection="1">
      <alignment horizontal="center" vertical="center"/>
      <protection locked="0"/>
    </xf>
    <xf numFmtId="164" fontId="16" fillId="0" borderId="19" xfId="1" applyNumberFormat="1" applyFont="1" applyFill="1" applyBorder="1" applyAlignment="1" applyProtection="1">
      <alignment horizontal="center" vertical="center"/>
      <protection locked="0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164" fontId="0" fillId="0" borderId="2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ont="1" applyFill="1" applyBorder="1" applyAlignment="1" applyProtection="1">
      <alignment horizontal="center" vertical="center"/>
    </xf>
    <xf numFmtId="0" fontId="11" fillId="8" borderId="24" xfId="0" applyFont="1" applyFill="1" applyBorder="1" applyAlignment="1" applyProtection="1">
      <alignment horizontal="center" vertical="center" wrapText="1"/>
    </xf>
    <xf numFmtId="0" fontId="11" fillId="8" borderId="19" xfId="0" applyFont="1" applyFill="1" applyBorder="1" applyAlignment="1" applyProtection="1">
      <alignment horizontal="center" vertical="center" wrapText="1"/>
    </xf>
    <xf numFmtId="1" fontId="5" fillId="3" borderId="16" xfId="1" applyNumberFormat="1" applyFont="1" applyFill="1" applyBorder="1" applyAlignment="1" applyProtection="1">
      <alignment horizontal="center" vertical="center"/>
      <protection locked="0"/>
    </xf>
    <xf numFmtId="1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4" xfId="0" applyFont="1" applyFill="1" applyBorder="1" applyAlignment="1" applyProtection="1">
      <alignment horizontal="left" vertical="center" wrapText="1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164" fontId="5" fillId="0" borderId="15" xfId="1" applyNumberFormat="1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NumberFormat="1" applyFont="1" applyFill="1" applyBorder="1" applyAlignment="1" applyProtection="1">
      <alignment horizontal="center" vertical="center"/>
      <protection locked="0"/>
    </xf>
    <xf numFmtId="0" fontId="0" fillId="2" borderId="21" xfId="0" applyNumberFormat="1" applyFont="1" applyFill="1" applyBorder="1" applyAlignment="1" applyProtection="1">
      <alignment horizontal="center" vertical="center"/>
      <protection locked="0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1" fillId="0" borderId="15" xfId="0" applyFont="1" applyFill="1" applyBorder="1" applyAlignment="1" applyProtection="1">
      <alignment horizontal="center" vertical="center" wrapText="1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0" borderId="15" xfId="0" applyNumberFormat="1" applyFont="1" applyFill="1" applyBorder="1" applyAlignment="1" applyProtection="1"/>
    <xf numFmtId="0" fontId="0" fillId="0" borderId="21" xfId="0" applyNumberFormat="1" applyFont="1" applyFill="1" applyBorder="1" applyAlignment="1" applyProtection="1"/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B6BF07-9261-4695-95AF-ABBF31ABFCDF}">
  <sheetPr codeName="Sheet7">
    <pageSetUpPr fitToPage="1"/>
  </sheetPr>
  <dimension ref="A1:N129"/>
  <sheetViews>
    <sheetView tabSelected="1" topLeftCell="A2" zoomScale="55" zoomScaleNormal="55" workbookViewId="0">
      <selection activeCell="H75" sqref="H75"/>
    </sheetView>
  </sheetViews>
  <sheetFormatPr defaultColWidth="12.109375" defaultRowHeight="18" x14ac:dyDescent="0.3"/>
  <cols>
    <col min="1" max="1" width="8.5546875" style="134" customWidth="1"/>
    <col min="2" max="2" width="81.109375" style="12" customWidth="1"/>
    <col min="3" max="3" width="19.44140625" style="12" customWidth="1"/>
    <col min="4" max="4" width="42.44140625" style="135" customWidth="1"/>
    <col min="5" max="5" width="18.5546875" style="12" bestFit="1" customWidth="1"/>
    <col min="6" max="6" width="21.6640625" style="12" customWidth="1"/>
    <col min="7" max="7" width="28.218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301" t="s">
        <v>146</v>
      </c>
      <c r="B1" s="302"/>
      <c r="C1" s="302"/>
      <c r="D1" s="302"/>
      <c r="E1" s="302"/>
      <c r="F1" s="302"/>
      <c r="G1" s="302"/>
      <c r="H1" s="302"/>
      <c r="I1" s="302"/>
      <c r="J1" s="302"/>
      <c r="K1" s="302"/>
      <c r="L1" s="303"/>
    </row>
    <row r="2" spans="1:14" ht="54.6" customHeight="1" thickBot="1" x14ac:dyDescent="0.45">
      <c r="A2" s="304" t="s">
        <v>0</v>
      </c>
      <c r="B2" s="305"/>
      <c r="C2" s="306"/>
      <c r="D2" s="307" t="s">
        <v>1</v>
      </c>
      <c r="E2" s="308"/>
      <c r="F2" s="309"/>
      <c r="G2" s="13" t="s">
        <v>135</v>
      </c>
      <c r="H2" s="14"/>
      <c r="I2" s="15"/>
      <c r="J2" s="15"/>
      <c r="K2" s="310"/>
      <c r="L2" s="311"/>
    </row>
    <row r="3" spans="1:14" ht="15.6" x14ac:dyDescent="0.3">
      <c r="A3" s="312"/>
      <c r="B3" s="313"/>
      <c r="C3" s="313"/>
      <c r="D3" s="313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2</v>
      </c>
      <c r="D4" s="24" t="s">
        <v>3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4</v>
      </c>
      <c r="C5" s="29" t="s">
        <v>5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6</v>
      </c>
      <c r="C6" s="29" t="s">
        <v>5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7</v>
      </c>
      <c r="C7" s="29" t="s">
        <v>5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8</v>
      </c>
      <c r="C8" s="32" t="s">
        <v>5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9</v>
      </c>
      <c r="C9" s="36" t="s">
        <v>141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61"/>
      <c r="B10" s="162"/>
      <c r="C10" s="162"/>
      <c r="D10" s="162"/>
      <c r="E10" s="162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292" t="s">
        <v>10</v>
      </c>
      <c r="C11" s="292"/>
      <c r="D11" s="292"/>
      <c r="E11" s="292"/>
      <c r="F11" s="292"/>
      <c r="G11" s="292"/>
      <c r="H11" s="292"/>
      <c r="I11" s="292"/>
      <c r="J11" s="293"/>
      <c r="K11" s="40"/>
      <c r="L11" s="41"/>
    </row>
    <row r="12" spans="1:14" ht="50.4" customHeight="1" x14ac:dyDescent="0.3">
      <c r="A12" s="39"/>
      <c r="B12" s="42" t="s">
        <v>11</v>
      </c>
      <c r="C12" s="43" t="s">
        <v>12</v>
      </c>
      <c r="D12" s="44" t="s">
        <v>13</v>
      </c>
      <c r="E12" s="43" t="s">
        <v>3</v>
      </c>
      <c r="F12" s="43" t="s">
        <v>14</v>
      </c>
      <c r="G12" s="43" t="s">
        <v>15</v>
      </c>
      <c r="H12" s="43" t="s">
        <v>16</v>
      </c>
      <c r="I12" s="45" t="s">
        <v>17</v>
      </c>
      <c r="J12" s="166" t="s">
        <v>18</v>
      </c>
      <c r="K12" s="166"/>
      <c r="L12" s="167"/>
    </row>
    <row r="13" spans="1:14" s="46" customFormat="1" ht="27.6" customHeight="1" x14ac:dyDescent="0.35">
      <c r="A13" s="39">
        <v>1.1000000000000001</v>
      </c>
      <c r="B13" s="294" t="s">
        <v>19</v>
      </c>
      <c r="C13" s="295" t="str">
        <f>IF(OR(G2="PSH-DV",G2="RRH-DV"),"&gt;85%","&gt;95%")</f>
        <v>&gt;85%</v>
      </c>
      <c r="D13" s="296" t="s">
        <v>20</v>
      </c>
      <c r="E13" s="297"/>
      <c r="F13" s="298">
        <f>IF(D6="",0,(E13)/D6)</f>
        <v>0</v>
      </c>
      <c r="G13" s="279" t="str">
        <f>IF(OR(G2="PSH-DV",G2="RRH-DV"),"100-85% = 10 points
 &lt;85-80% = 7.5 points
&lt;80% = 0 points","100-95%=10 points
&lt;95-90%=7.5 points
&lt;90= 0 points")</f>
        <v>100-85% = 10 points
 &lt;85-80% = 7.5 points
&lt;80% = 0 points</v>
      </c>
      <c r="H13" s="299">
        <f>IF(C13="&gt;85%",IF(D5="",0,IF(F13&gt;85%,10,IF(F13&gt;=80%,7.5,IF(F13&lt;80%,0,"N/A")))),IF(C13="&gt;95%",IF(F13&gt;=95%,10,IF(F13&gt;=90%,7.5,IF(F13&lt;90%,0,"N/A")))))</f>
        <v>0</v>
      </c>
      <c r="I13" s="300">
        <v>10</v>
      </c>
      <c r="J13" s="314"/>
      <c r="K13" s="314"/>
      <c r="L13" s="315"/>
      <c r="N13" s="47"/>
    </row>
    <row r="14" spans="1:14" s="46" customFormat="1" ht="27.6" customHeight="1" x14ac:dyDescent="0.3">
      <c r="A14" s="39"/>
      <c r="B14" s="294"/>
      <c r="C14" s="295"/>
      <c r="D14" s="296"/>
      <c r="E14" s="297"/>
      <c r="F14" s="298"/>
      <c r="G14" s="279"/>
      <c r="H14" s="299"/>
      <c r="I14" s="300"/>
      <c r="J14" s="314"/>
      <c r="K14" s="314"/>
      <c r="L14" s="315"/>
      <c r="N14" s="48"/>
    </row>
    <row r="15" spans="1:14" ht="50.4" customHeight="1" x14ac:dyDescent="0.3">
      <c r="A15" s="39">
        <v>1.2</v>
      </c>
      <c r="B15" s="49" t="s">
        <v>21</v>
      </c>
      <c r="C15" s="50" t="s">
        <v>22</v>
      </c>
      <c r="D15" s="51" t="s">
        <v>23</v>
      </c>
      <c r="E15" s="2"/>
      <c r="F15" s="137">
        <f>IF(D5="",0,E15/D6)</f>
        <v>0</v>
      </c>
      <c r="G15" s="52" t="s">
        <v>124</v>
      </c>
      <c r="H15" s="53">
        <f>IF(D5="",0,IF(F15&gt;=40%,10,IF(F15&gt;=30%,7.5,IF(F15&lt;30%,0))))</f>
        <v>0</v>
      </c>
      <c r="I15" s="54">
        <v>10</v>
      </c>
      <c r="J15" s="316"/>
      <c r="K15" s="317"/>
      <c r="L15" s="318"/>
      <c r="N15" s="48"/>
    </row>
    <row r="16" spans="1:14" ht="50.4" customHeight="1" x14ac:dyDescent="0.3">
      <c r="A16" s="39">
        <v>1.3</v>
      </c>
      <c r="B16" s="49" t="s">
        <v>24</v>
      </c>
      <c r="C16" s="50" t="s">
        <v>142</v>
      </c>
      <c r="D16" s="55" t="s">
        <v>25</v>
      </c>
      <c r="E16" s="2"/>
      <c r="F16" s="137">
        <f>IF(D6="",0,E16/D6)</f>
        <v>0</v>
      </c>
      <c r="G16" s="52" t="s">
        <v>125</v>
      </c>
      <c r="H16" s="53">
        <f>IF(F16&gt;=50%,10,IF(F16&gt;=40%,7.5,IF(F16&lt;40%,0)))</f>
        <v>0</v>
      </c>
      <c r="I16" s="54">
        <v>10</v>
      </c>
      <c r="J16" s="319"/>
      <c r="K16" s="319"/>
      <c r="L16" s="320"/>
    </row>
    <row r="17" spans="1:14" ht="19.95" customHeight="1" x14ac:dyDescent="0.3">
      <c r="A17" s="39"/>
      <c r="B17" s="191" t="s">
        <v>26</v>
      </c>
      <c r="C17" s="191"/>
      <c r="D17" s="191"/>
      <c r="E17" s="191"/>
      <c r="F17" s="191"/>
      <c r="G17" s="192"/>
      <c r="H17" s="56">
        <f>SUM(H13:H16)</f>
        <v>0</v>
      </c>
      <c r="I17" s="57">
        <f>SUM(I13:I16)</f>
        <v>30</v>
      </c>
      <c r="J17" s="282"/>
      <c r="K17" s="282"/>
      <c r="L17" s="283"/>
    </row>
    <row r="18" spans="1:14" x14ac:dyDescent="0.3">
      <c r="A18" s="39"/>
      <c r="B18" s="227"/>
      <c r="C18" s="227"/>
      <c r="D18" s="227"/>
      <c r="E18" s="227"/>
      <c r="F18" s="227"/>
      <c r="G18" s="227"/>
      <c r="H18" s="227"/>
      <c r="I18" s="227"/>
      <c r="J18" s="227"/>
      <c r="K18" s="227"/>
      <c r="L18" s="228"/>
    </row>
    <row r="19" spans="1:14" ht="50.4" customHeight="1" x14ac:dyDescent="0.3">
      <c r="A19" s="39">
        <v>2</v>
      </c>
      <c r="B19" s="58" t="s">
        <v>27</v>
      </c>
      <c r="C19" s="59" t="s">
        <v>28</v>
      </c>
      <c r="D19" s="60"/>
      <c r="E19" s="288"/>
      <c r="F19" s="289"/>
      <c r="G19" s="289"/>
      <c r="H19" s="289"/>
      <c r="I19" s="289"/>
      <c r="J19" s="289"/>
      <c r="K19" s="289"/>
      <c r="L19" s="290"/>
    </row>
    <row r="20" spans="1:14" ht="50.4" customHeight="1" x14ac:dyDescent="0.3">
      <c r="A20" s="39"/>
      <c r="B20" s="42" t="s">
        <v>11</v>
      </c>
      <c r="C20" s="43" t="s">
        <v>29</v>
      </c>
      <c r="D20" s="44" t="s">
        <v>13</v>
      </c>
      <c r="E20" s="287" t="s">
        <v>30</v>
      </c>
      <c r="F20" s="287"/>
      <c r="G20" s="43" t="s">
        <v>15</v>
      </c>
      <c r="H20" s="43" t="s">
        <v>16</v>
      </c>
      <c r="I20" s="45" t="s">
        <v>17</v>
      </c>
      <c r="J20" s="166" t="s">
        <v>18</v>
      </c>
      <c r="K20" s="166"/>
      <c r="L20" s="167"/>
    </row>
    <row r="21" spans="1:14" ht="50.4" customHeight="1" x14ac:dyDescent="0.4">
      <c r="A21" s="39">
        <v>2.1</v>
      </c>
      <c r="B21" s="61" t="s">
        <v>31</v>
      </c>
      <c r="C21" s="68">
        <v>0.13</v>
      </c>
      <c r="D21" s="54" t="s">
        <v>32</v>
      </c>
      <c r="E21" s="291"/>
      <c r="F21" s="291"/>
      <c r="G21" s="52" t="str">
        <f>IF(G2="PSH-DV","100-13% = 10 points
&lt;13-08% = 5 points
&lt;08% = 0 points",
IF(G2="PSH","100-15% = 10 points
&lt;15-08% = 5 points
G22 &lt;08% = 0 points","N/A-PSH ONLY"))</f>
        <v>100-13% = 10 points
&lt;13-08% = 5 points
&lt;08% = 0 points</v>
      </c>
      <c r="H21" s="3">
        <f>IF(G2= "PSH",IF(E21=0,0,IF(E21&gt;=15%,10,IF(E21&gt;=8%,5,IF(E21&lt;=8%,0,"N/A")))),IF(E21=0,0,IF(E21&gt;=13%,10,IF(E21&gt;=8%,5,IF(E21&lt;=8%,0,"N/A")))))</f>
        <v>0</v>
      </c>
      <c r="I21" s="63">
        <v>10</v>
      </c>
      <c r="J21" s="222"/>
      <c r="K21" s="222"/>
      <c r="L21" s="223"/>
      <c r="N21" s="64"/>
    </row>
    <row r="22" spans="1:14" ht="50.4" customHeight="1" x14ac:dyDescent="0.4">
      <c r="A22" s="39">
        <v>2.2000000000000002</v>
      </c>
      <c r="B22" s="61" t="s">
        <v>33</v>
      </c>
      <c r="C22" s="68">
        <v>0.4</v>
      </c>
      <c r="D22" s="54" t="s">
        <v>34</v>
      </c>
      <c r="E22" s="291"/>
      <c r="F22" s="291"/>
      <c r="G22" s="52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100-40% = 10 points                               &lt;40-30% = 5 points                                 &lt;30% = 0 points</v>
      </c>
      <c r="H22" s="3">
        <f>IF(G2= "PSH",IF(E22=0,0,IF(E22&gt;=50%,10,IF(E22&gt;=35%,5,IF(E22&lt;=35%,0,"N/A")))),IF(E22=0,0,IF(E22&gt;=40%,10,IF(E22&gt;=30%,5,IF(E22&lt;=30%,0,"N/A")))))</f>
        <v>0</v>
      </c>
      <c r="I22" s="63">
        <v>10</v>
      </c>
      <c r="J22" s="222"/>
      <c r="K22" s="222"/>
      <c r="L22" s="223"/>
      <c r="N22" s="64"/>
    </row>
    <row r="23" spans="1:14" ht="50.4" customHeight="1" x14ac:dyDescent="0.4">
      <c r="A23" s="39">
        <v>2.2999999999999998</v>
      </c>
      <c r="B23" s="49" t="s">
        <v>126</v>
      </c>
      <c r="C23" s="70">
        <v>0.45</v>
      </c>
      <c r="D23" s="54" t="s">
        <v>35</v>
      </c>
      <c r="E23" s="291"/>
      <c r="F23" s="291"/>
      <c r="G23" s="52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100-45% = 10 points                               &lt;45-35% = 5 points                                 &lt;35% = 0 points</v>
      </c>
      <c r="H23" s="3">
        <f>IF(G2= "PSH",IF(E23=0,0,IF(E23&gt;=60%,10,IF(E23&gt;=45%,5,IF(E23&lt;=45%,0,"N/A")))),IF(E23=0,0,IF(E23&gt;=45%,10,IF(E23&gt;=35%,5,IF(E23&lt;=35%,0,"N/A")))))</f>
        <v>0</v>
      </c>
      <c r="I23" s="63">
        <v>10</v>
      </c>
      <c r="J23" s="222"/>
      <c r="K23" s="222"/>
      <c r="L23" s="223"/>
      <c r="N23" s="64"/>
    </row>
    <row r="24" spans="1:14" ht="18" customHeight="1" x14ac:dyDescent="0.4">
      <c r="A24" s="39"/>
      <c r="B24" s="191" t="s">
        <v>36</v>
      </c>
      <c r="C24" s="191"/>
      <c r="D24" s="191"/>
      <c r="E24" s="191"/>
      <c r="F24" s="191"/>
      <c r="G24" s="192"/>
      <c r="H24" s="56">
        <f>SUM(H21:H23)</f>
        <v>0</v>
      </c>
      <c r="I24" s="57">
        <f>SUM(I21:I23)</f>
        <v>30</v>
      </c>
      <c r="J24" s="282"/>
      <c r="K24" s="282"/>
      <c r="L24" s="283"/>
      <c r="N24" s="64"/>
    </row>
    <row r="25" spans="1:14" ht="10.95" customHeight="1" x14ac:dyDescent="0.3">
      <c r="A25" s="161"/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3"/>
    </row>
    <row r="26" spans="1:14" ht="50.4" customHeight="1" x14ac:dyDescent="0.3">
      <c r="A26" s="39">
        <v>3</v>
      </c>
      <c r="B26" s="58" t="s">
        <v>37</v>
      </c>
      <c r="C26" s="59" t="s">
        <v>38</v>
      </c>
      <c r="D26" s="288"/>
      <c r="E26" s="289"/>
      <c r="F26" s="289"/>
      <c r="G26" s="289"/>
      <c r="H26" s="289"/>
      <c r="I26" s="289"/>
      <c r="J26" s="289"/>
      <c r="K26" s="289"/>
      <c r="L26" s="290"/>
    </row>
    <row r="27" spans="1:14" ht="50.4" customHeight="1" x14ac:dyDescent="0.3">
      <c r="A27" s="39"/>
      <c r="B27" s="42" t="s">
        <v>11</v>
      </c>
      <c r="C27" s="43" t="s">
        <v>29</v>
      </c>
      <c r="D27" s="44" t="s">
        <v>13</v>
      </c>
      <c r="E27" s="287" t="s">
        <v>30</v>
      </c>
      <c r="F27" s="287"/>
      <c r="G27" s="43" t="s">
        <v>15</v>
      </c>
      <c r="H27" s="43" t="s">
        <v>16</v>
      </c>
      <c r="I27" s="45" t="s">
        <v>17</v>
      </c>
      <c r="J27" s="166" t="s">
        <v>18</v>
      </c>
      <c r="K27" s="166"/>
      <c r="L27" s="167"/>
    </row>
    <row r="28" spans="1:14" ht="50.4" customHeight="1" x14ac:dyDescent="0.35">
      <c r="A28" s="39">
        <v>3.1</v>
      </c>
      <c r="B28" s="61" t="s">
        <v>39</v>
      </c>
      <c r="C28" s="68">
        <v>0.15</v>
      </c>
      <c r="D28" s="54" t="s">
        <v>40</v>
      </c>
      <c r="E28" s="291"/>
      <c r="F28" s="291"/>
      <c r="G28" s="52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100-15% = 10 points                               &lt;15-10 = 5 points                                 &lt;10% = 0 points</v>
      </c>
      <c r="H28" s="3">
        <f>IF(G2= "PSH",IF(E28=0,0,IF(E28&gt;=20%,10,IF(E28&gt;=15%,5,IF(E28&lt;15%,0,"N/A")))),IF(E28=0,0,IF(E28&gt;=15%,10,IF(E28&gt;=10%,5,IF(E28&lt;10%,0,"N/A")))))</f>
        <v>0</v>
      </c>
      <c r="I28" s="63">
        <v>10</v>
      </c>
      <c r="J28" s="222"/>
      <c r="K28" s="222"/>
      <c r="L28" s="223"/>
      <c r="N28" s="66"/>
    </row>
    <row r="29" spans="1:14" ht="50.4" customHeight="1" x14ac:dyDescent="0.35">
      <c r="A29" s="39">
        <v>3.2</v>
      </c>
      <c r="B29" s="61" t="s">
        <v>41</v>
      </c>
      <c r="C29" s="70">
        <v>0.3</v>
      </c>
      <c r="D29" s="54" t="s">
        <v>42</v>
      </c>
      <c r="E29" s="291"/>
      <c r="F29" s="291"/>
      <c r="G29" s="52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100-30% = 10 points                               &lt;30-20% = 5 points                                 &lt;20% = 0 points</v>
      </c>
      <c r="H29" s="3">
        <f>IF(G2= "PSH",IF(E29=0,0,IF(E29&gt;=40%,10,IF(E29&gt;=30%,5,IF(E29&lt;=30%,0,"N/A")))),IF(E29=0,0,IF(E29&gt;=30%,5,IF(E29&gt;=20%,2.5,IF(E29&lt;=20%,0,"N/A")))))</f>
        <v>0</v>
      </c>
      <c r="I29" s="63">
        <v>10</v>
      </c>
      <c r="J29" s="222"/>
      <c r="K29" s="222"/>
      <c r="L29" s="223"/>
      <c r="N29" s="66"/>
    </row>
    <row r="30" spans="1:14" ht="43.95" customHeight="1" x14ac:dyDescent="0.35">
      <c r="A30" s="39">
        <v>3.3</v>
      </c>
      <c r="B30" s="49" t="s">
        <v>127</v>
      </c>
      <c r="C30" s="70">
        <v>0.4</v>
      </c>
      <c r="D30" s="54" t="s">
        <v>43</v>
      </c>
      <c r="E30" s="291"/>
      <c r="F30" s="291"/>
      <c r="G30" s="52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100-40% = 10 points                               &lt;40-30% = 5 points                                 &lt;30% = 0 points</v>
      </c>
      <c r="H30" s="3">
        <f>IF(G2= "PSH",IF(E30=0,0,IF(E30&gt;=50%,10,IF(E30&gt;=40%,5,IF(E30&lt;=40%,0,"N/A")))),IF(E30=0,0,IF(E30&gt;=40%,5,IF(E30&gt;=30%,2.5,IF(E30&lt;=20%,0,"N/A")))))</f>
        <v>0</v>
      </c>
      <c r="I30" s="63">
        <v>10</v>
      </c>
      <c r="J30" s="222"/>
      <c r="K30" s="222"/>
      <c r="L30" s="223"/>
      <c r="N30" s="66"/>
    </row>
    <row r="31" spans="1:14" ht="15.6" customHeight="1" x14ac:dyDescent="0.35">
      <c r="A31" s="39"/>
      <c r="B31" s="191" t="s">
        <v>36</v>
      </c>
      <c r="C31" s="191"/>
      <c r="D31" s="191"/>
      <c r="E31" s="191"/>
      <c r="F31" s="191"/>
      <c r="G31" s="192"/>
      <c r="H31" s="56">
        <f>SUM(H28:H30)</f>
        <v>0</v>
      </c>
      <c r="I31" s="57">
        <f>SUM(I28:I30)</f>
        <v>30</v>
      </c>
      <c r="J31" s="282"/>
      <c r="K31" s="282"/>
      <c r="L31" s="283"/>
      <c r="N31" s="67"/>
    </row>
    <row r="32" spans="1:14" ht="7.2" customHeight="1" x14ac:dyDescent="0.35">
      <c r="A32" s="161"/>
      <c r="B32" s="162"/>
      <c r="C32" s="162"/>
      <c r="D32" s="162"/>
      <c r="E32" s="162"/>
      <c r="F32" s="162"/>
      <c r="G32" s="162"/>
      <c r="H32" s="162"/>
      <c r="I32" s="162"/>
      <c r="J32" s="162"/>
      <c r="K32" s="162"/>
      <c r="L32" s="163"/>
      <c r="N32" s="67"/>
    </row>
    <row r="33" spans="1:14" ht="45" hidden="1" customHeight="1" x14ac:dyDescent="0.35">
      <c r="A33" s="39">
        <v>2</v>
      </c>
      <c r="B33" s="58" t="s">
        <v>44</v>
      </c>
      <c r="C33" s="59" t="s">
        <v>28</v>
      </c>
      <c r="D33" s="288"/>
      <c r="E33" s="289"/>
      <c r="F33" s="289"/>
      <c r="G33" s="289"/>
      <c r="H33" s="289"/>
      <c r="I33" s="289"/>
      <c r="J33" s="289"/>
      <c r="K33" s="289"/>
      <c r="L33" s="290"/>
      <c r="N33" s="66"/>
    </row>
    <row r="34" spans="1:14" ht="45" hidden="1" customHeight="1" x14ac:dyDescent="0.3">
      <c r="A34" s="39"/>
      <c r="B34" s="42" t="s">
        <v>11</v>
      </c>
      <c r="C34" s="43" t="s">
        <v>29</v>
      </c>
      <c r="D34" s="44" t="s">
        <v>13</v>
      </c>
      <c r="E34" s="287" t="s">
        <v>30</v>
      </c>
      <c r="F34" s="287"/>
      <c r="G34" s="43" t="s">
        <v>15</v>
      </c>
      <c r="H34" s="43" t="s">
        <v>16</v>
      </c>
      <c r="I34" s="45" t="s">
        <v>17</v>
      </c>
      <c r="J34" s="166" t="s">
        <v>18</v>
      </c>
      <c r="K34" s="166"/>
      <c r="L34" s="167"/>
    </row>
    <row r="35" spans="1:14" ht="51" hidden="1" customHeight="1" x14ac:dyDescent="0.3">
      <c r="A35" s="39">
        <v>2.1</v>
      </c>
      <c r="B35" s="61" t="s">
        <v>31</v>
      </c>
      <c r="C35" s="62" t="s">
        <v>45</v>
      </c>
      <c r="D35" s="54" t="s">
        <v>32</v>
      </c>
      <c r="E35" s="278"/>
      <c r="F35" s="278"/>
      <c r="G35" s="52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N/A-RRH ONLY</v>
      </c>
      <c r="H35" s="3">
        <f>IF(G2= "RRH",IF(E35=0,0,IF(E35&gt;=17%,10,IF(E35&gt;=11%,5,IF(E35&lt;=11%,0,"N/A")))),IF(E35=0,0,IF(E35&gt;=15%,10,IF(E35&gt;=8%,5,IF(E35&lt;=8%,0,"N/A")))))</f>
        <v>0</v>
      </c>
      <c r="I35" s="69">
        <v>10</v>
      </c>
      <c r="J35" s="280"/>
      <c r="K35" s="280"/>
      <c r="L35" s="281"/>
    </row>
    <row r="36" spans="1:14" ht="51" hidden="1" customHeight="1" x14ac:dyDescent="0.3">
      <c r="A36" s="39">
        <v>2.2000000000000002</v>
      </c>
      <c r="B36" s="61" t="s">
        <v>33</v>
      </c>
      <c r="C36" s="62" t="s">
        <v>46</v>
      </c>
      <c r="D36" s="54" t="s">
        <v>34</v>
      </c>
      <c r="E36" s="278"/>
      <c r="F36" s="278"/>
      <c r="G36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36" s="3">
        <f>IF(G2= "RRH",IF(E36=0,0,IF(E36&gt;=25%,10,IF(E36&gt;=15%,5,IF(E36&lt;=15%,0,"N/A")))),IF(E36=0,0,IF(E36&gt;=20%,10,IF(E36&gt;=10%,5,IF(E36&lt;=10%,0,"N/A")))))</f>
        <v>0</v>
      </c>
      <c r="I36" s="69">
        <v>10</v>
      </c>
      <c r="J36" s="280"/>
      <c r="K36" s="280"/>
      <c r="L36" s="281"/>
    </row>
    <row r="37" spans="1:14" ht="51" hidden="1" customHeight="1" x14ac:dyDescent="0.3">
      <c r="A37" s="39">
        <v>2.2999999999999998</v>
      </c>
      <c r="B37" s="49" t="s">
        <v>126</v>
      </c>
      <c r="C37" s="65" t="s">
        <v>47</v>
      </c>
      <c r="D37" s="54" t="s">
        <v>35</v>
      </c>
      <c r="E37" s="278"/>
      <c r="F37" s="278"/>
      <c r="G37" s="52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N/A-RRH ONLY</v>
      </c>
      <c r="H37" s="3">
        <f>IF(G2= "RRH",IF(E37=0,0,IF(E37&gt;=30%,10,IF(E37&gt;=20%,5,IF(E37&lt;=20%,0,"N/A")))),IF(E37=0,0,IF(E37&gt;=25%,10,IF(E37&gt;=15%,5,IF(E37&lt;=15%,0,"N/A")))))</f>
        <v>0</v>
      </c>
      <c r="I37" s="69">
        <v>10</v>
      </c>
      <c r="J37" s="280"/>
      <c r="K37" s="280"/>
      <c r="L37" s="281"/>
    </row>
    <row r="38" spans="1:14" ht="15" hidden="1" customHeight="1" x14ac:dyDescent="0.3">
      <c r="A38" s="39"/>
      <c r="B38" s="191" t="s">
        <v>36</v>
      </c>
      <c r="C38" s="191"/>
      <c r="D38" s="191"/>
      <c r="E38" s="191"/>
      <c r="F38" s="191"/>
      <c r="G38" s="192"/>
      <c r="H38" s="56">
        <f>SUM(H35:H37)</f>
        <v>0</v>
      </c>
      <c r="I38" s="57">
        <f>SUM(I35:I37)</f>
        <v>30</v>
      </c>
      <c r="J38" s="282"/>
      <c r="K38" s="282"/>
      <c r="L38" s="283"/>
    </row>
    <row r="39" spans="1:14" ht="8.4" hidden="1" customHeight="1" x14ac:dyDescent="0.3">
      <c r="A39" s="161"/>
      <c r="B39" s="162"/>
      <c r="C39" s="162"/>
      <c r="D39" s="162"/>
      <c r="E39" s="162"/>
      <c r="F39" s="162"/>
      <c r="G39" s="162"/>
      <c r="H39" s="162"/>
      <c r="I39" s="162"/>
      <c r="J39" s="162"/>
      <c r="K39" s="162"/>
      <c r="L39" s="163"/>
    </row>
    <row r="40" spans="1:14" ht="20.399999999999999" hidden="1" customHeight="1" x14ac:dyDescent="0.3">
      <c r="A40" s="39">
        <v>3</v>
      </c>
      <c r="B40" s="58" t="s">
        <v>48</v>
      </c>
      <c r="C40" s="59" t="s">
        <v>38</v>
      </c>
      <c r="D40" s="288"/>
      <c r="E40" s="289"/>
      <c r="F40" s="289"/>
      <c r="G40" s="289"/>
      <c r="H40" s="289"/>
      <c r="I40" s="289"/>
      <c r="J40" s="289"/>
      <c r="K40" s="289"/>
      <c r="L40" s="290"/>
    </row>
    <row r="41" spans="1:14" ht="45" hidden="1" customHeight="1" x14ac:dyDescent="0.3">
      <c r="A41" s="39"/>
      <c r="B41" s="71" t="s">
        <v>11</v>
      </c>
      <c r="C41" s="43" t="s">
        <v>29</v>
      </c>
      <c r="D41" s="44" t="s">
        <v>13</v>
      </c>
      <c r="E41" s="287" t="s">
        <v>30</v>
      </c>
      <c r="F41" s="287"/>
      <c r="G41" s="43" t="s">
        <v>15</v>
      </c>
      <c r="H41" s="43" t="s">
        <v>16</v>
      </c>
      <c r="I41" s="45" t="s">
        <v>17</v>
      </c>
      <c r="J41" s="166" t="s">
        <v>18</v>
      </c>
      <c r="K41" s="166"/>
      <c r="L41" s="167"/>
    </row>
    <row r="42" spans="1:14" ht="50.4" hidden="1" customHeight="1" x14ac:dyDescent="0.3">
      <c r="A42" s="39">
        <v>3.1</v>
      </c>
      <c r="B42" s="61" t="s">
        <v>49</v>
      </c>
      <c r="C42" s="62" t="s">
        <v>50</v>
      </c>
      <c r="D42" s="54" t="s">
        <v>40</v>
      </c>
      <c r="E42" s="278"/>
      <c r="F42" s="278"/>
      <c r="G42" s="52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N/A_RRH ONLY</v>
      </c>
      <c r="H42" s="3">
        <f>IF(G2= "RRH",IF(E42=0,0,IF(E42&gt;=20%,10,IF(E42&gt;=15%,5,IF(E42&lt;15%,0,"N/A")))),IF(E42=0,0,IF(E42&gt;=15%,10,IF(E42&gt;=10%,5,IF(E42&lt;=10%,0,"N/A")))))</f>
        <v>0</v>
      </c>
      <c r="I42" s="72">
        <v>10</v>
      </c>
      <c r="J42" s="280"/>
      <c r="K42" s="280"/>
      <c r="L42" s="281"/>
    </row>
    <row r="43" spans="1:14" s="46" customFormat="1" ht="50.4" hidden="1" customHeight="1" x14ac:dyDescent="0.3">
      <c r="A43" s="39">
        <v>3.2</v>
      </c>
      <c r="B43" s="61" t="s">
        <v>41</v>
      </c>
      <c r="C43" s="62" t="s">
        <v>46</v>
      </c>
      <c r="D43" s="52" t="s">
        <v>42</v>
      </c>
      <c r="E43" s="278"/>
      <c r="F43" s="278"/>
      <c r="G43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N/A-RRH ONLY</v>
      </c>
      <c r="H43" s="3">
        <f>IF(G2= "RRH",IF(E43=0,0,IF(E43&gt;=25%,10,IF(E43&gt;=15%,5,IF(E43&lt;15%,0,"N/A")))),IF(E43=0,0,IF(E43&gt;=25%,10,IF(E43&gt;=15%,5,IF(E43&lt;15%,0,"N/A")))))</f>
        <v>0</v>
      </c>
      <c r="I43" s="72">
        <v>10</v>
      </c>
      <c r="J43" s="280"/>
      <c r="K43" s="280"/>
      <c r="L43" s="281"/>
    </row>
    <row r="44" spans="1:14" ht="50.4" hidden="1" customHeight="1" x14ac:dyDescent="0.3">
      <c r="A44" s="39">
        <v>3.3</v>
      </c>
      <c r="B44" s="49" t="s">
        <v>128</v>
      </c>
      <c r="C44" s="65" t="s">
        <v>46</v>
      </c>
      <c r="D44" s="54" t="s">
        <v>43</v>
      </c>
      <c r="E44" s="278"/>
      <c r="F44" s="278"/>
      <c r="G44" s="51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N/A-RRH ONLY</v>
      </c>
      <c r="H44" s="3">
        <f>IF(G2= "RRH",IF(E44=0,0,IF(E44&gt;=25%,10,IF(E44&gt;=15%,5,IF(E44&lt;=15%,0,"N/A")))),IF(E44=0,0,IF(E44&gt;=20%,10,IF(E44&gt;=12%,5,IF(E44&lt;=12%,0,"N/A")))))</f>
        <v>0</v>
      </c>
      <c r="I44" s="72">
        <v>10</v>
      </c>
      <c r="J44" s="280"/>
      <c r="K44" s="280"/>
      <c r="L44" s="281"/>
    </row>
    <row r="45" spans="1:14" hidden="1" x14ac:dyDescent="0.3">
      <c r="A45" s="39"/>
      <c r="B45" s="191" t="s">
        <v>36</v>
      </c>
      <c r="C45" s="191"/>
      <c r="D45" s="191"/>
      <c r="E45" s="191"/>
      <c r="F45" s="191"/>
      <c r="G45" s="192"/>
      <c r="H45" s="56">
        <f>SUM(H42:H44)</f>
        <v>0</v>
      </c>
      <c r="I45" s="57">
        <f>SUM(I42:I44)</f>
        <v>30</v>
      </c>
      <c r="J45" s="282"/>
      <c r="K45" s="282"/>
      <c r="L45" s="283"/>
    </row>
    <row r="46" spans="1:14" hidden="1" x14ac:dyDescent="0.3">
      <c r="A46" s="39"/>
      <c r="B46" s="191" t="s">
        <v>51</v>
      </c>
      <c r="C46" s="191"/>
      <c r="D46" s="191"/>
      <c r="E46" s="191"/>
      <c r="F46" s="191"/>
      <c r="G46" s="192"/>
      <c r="H46" s="56">
        <f>SUM(H24,H31,H38,H45)</f>
        <v>0</v>
      </c>
      <c r="I46" s="57">
        <v>60</v>
      </c>
      <c r="J46" s="284"/>
      <c r="K46" s="285"/>
      <c r="L46" s="286"/>
    </row>
    <row r="47" spans="1:14" ht="14.4" hidden="1" x14ac:dyDescent="0.3">
      <c r="A47" s="161"/>
      <c r="B47" s="162"/>
      <c r="C47" s="162"/>
      <c r="D47" s="162"/>
      <c r="E47" s="162"/>
      <c r="F47" s="162"/>
      <c r="G47" s="162"/>
      <c r="H47" s="162"/>
      <c r="I47" s="162"/>
      <c r="J47" s="162"/>
      <c r="K47" s="162"/>
      <c r="L47" s="163"/>
    </row>
    <row r="48" spans="1:14" x14ac:dyDescent="0.3">
      <c r="A48" s="39">
        <v>4</v>
      </c>
      <c r="B48" s="275" t="s">
        <v>52</v>
      </c>
      <c r="C48" s="275"/>
      <c r="D48" s="275"/>
      <c r="E48" s="275"/>
      <c r="F48" s="275"/>
      <c r="G48" s="275"/>
      <c r="H48" s="275"/>
      <c r="I48" s="275"/>
      <c r="J48" s="275"/>
      <c r="K48" s="275"/>
      <c r="L48" s="276"/>
    </row>
    <row r="49" spans="1:14" ht="31.2" x14ac:dyDescent="0.3">
      <c r="A49" s="39"/>
      <c r="B49" s="71" t="s">
        <v>11</v>
      </c>
      <c r="C49" s="43" t="s">
        <v>12</v>
      </c>
      <c r="D49" s="44" t="s">
        <v>13</v>
      </c>
      <c r="E49" s="182" t="s">
        <v>3</v>
      </c>
      <c r="F49" s="182"/>
      <c r="G49" s="43" t="s">
        <v>53</v>
      </c>
      <c r="H49" s="43" t="s">
        <v>16</v>
      </c>
      <c r="I49" s="45" t="s">
        <v>17</v>
      </c>
      <c r="J49" s="166" t="s">
        <v>18</v>
      </c>
      <c r="K49" s="166"/>
      <c r="L49" s="167"/>
    </row>
    <row r="50" spans="1:14" s="46" customFormat="1" ht="11.4" hidden="1" customHeight="1" x14ac:dyDescent="0.3">
      <c r="A50" s="39">
        <v>4.0999999999999996</v>
      </c>
      <c r="B50" s="269" t="s">
        <v>54</v>
      </c>
      <c r="C50" s="270" t="s">
        <v>55</v>
      </c>
      <c r="D50" s="277" t="str">
        <f>IF(G2="RRH-DV","N/A","System  Performance Measure 7b1""% of Successful Exits")</f>
        <v>System  Performance Measure 7b1"% of Successful Exits</v>
      </c>
      <c r="E50" s="278"/>
      <c r="F50" s="278"/>
      <c r="G50" s="279" t="s">
        <v>129</v>
      </c>
      <c r="H50" s="249">
        <f>IF(OR(E50&gt;=85%,F53&gt;=85%),20,IF(OR(E50&gt;=70%,F53&gt;=70%),10,IF(OR(E50&lt;70%,F53,70%),0,0)))</f>
        <v>0</v>
      </c>
      <c r="I50" s="242">
        <v>20</v>
      </c>
      <c r="J50" s="266"/>
      <c r="K50" s="266"/>
      <c r="L50" s="267"/>
    </row>
    <row r="51" spans="1:14" s="46" customFormat="1" ht="11.4" hidden="1" customHeight="1" x14ac:dyDescent="0.3">
      <c r="A51" s="39"/>
      <c r="B51" s="269"/>
      <c r="C51" s="270"/>
      <c r="D51" s="277"/>
      <c r="E51" s="278"/>
      <c r="F51" s="278"/>
      <c r="G51" s="279"/>
      <c r="H51" s="249"/>
      <c r="I51" s="242"/>
      <c r="J51" s="266"/>
      <c r="K51" s="266"/>
      <c r="L51" s="267"/>
    </row>
    <row r="52" spans="1:14" s="46" customFormat="1" ht="11.4" hidden="1" customHeight="1" x14ac:dyDescent="0.3">
      <c r="A52" s="39"/>
      <c r="B52" s="269"/>
      <c r="C52" s="270"/>
      <c r="D52" s="277"/>
      <c r="E52" s="278"/>
      <c r="F52" s="278"/>
      <c r="G52" s="279"/>
      <c r="H52" s="249"/>
      <c r="I52" s="242"/>
      <c r="J52" s="266"/>
      <c r="K52" s="266"/>
      <c r="L52" s="267"/>
    </row>
    <row r="53" spans="1:14" s="46" customFormat="1" ht="37.950000000000003" hidden="1" customHeight="1" x14ac:dyDescent="0.4">
      <c r="A53" s="39"/>
      <c r="B53" s="269"/>
      <c r="C53" s="270"/>
      <c r="D53" s="73" t="str">
        <f>IF(G2="RRH","N/A","APR 23c  'Total persons whose destinations excluded them from the calculation'")</f>
        <v>APR 23c  'Total persons whose destinations excluded them from the calculation'</v>
      </c>
      <c r="E53" s="74"/>
      <c r="F53" s="268">
        <f>IF(OR(E53="",E54=""),0,((D5-D7+E54-E53)/D5))</f>
        <v>0</v>
      </c>
      <c r="G53" s="279"/>
      <c r="H53" s="249"/>
      <c r="I53" s="242"/>
      <c r="J53" s="266"/>
      <c r="K53" s="266"/>
      <c r="L53" s="267"/>
      <c r="N53" s="75"/>
    </row>
    <row r="54" spans="1:14" s="46" customFormat="1" ht="37.950000000000003" hidden="1" customHeight="1" x14ac:dyDescent="0.4">
      <c r="A54" s="39"/>
      <c r="B54" s="269"/>
      <c r="C54" s="270"/>
      <c r="D54" s="73" t="str">
        <f>IF(G2="RRH","N/A","APR 23c  'Total persons exiting to Permanent Housing Destinations'")</f>
        <v>APR 23c  'Total persons exiting to Permanent Housing Destinations'</v>
      </c>
      <c r="E54" s="74">
        <v>0</v>
      </c>
      <c r="F54" s="268"/>
      <c r="G54" s="279"/>
      <c r="H54" s="249"/>
      <c r="I54" s="242"/>
      <c r="J54" s="266"/>
      <c r="K54" s="266"/>
      <c r="L54" s="267"/>
      <c r="N54" s="75"/>
    </row>
    <row r="55" spans="1:14" ht="40.200000000000003" customHeight="1" x14ac:dyDescent="0.3">
      <c r="A55" s="39">
        <v>4.0999999999999996</v>
      </c>
      <c r="B55" s="269" t="s">
        <v>56</v>
      </c>
      <c r="C55" s="270" t="s">
        <v>57</v>
      </c>
      <c r="D55" s="73" t="str">
        <f>IF(G2="PSH-DV","N/A","System  Performance Measure 7b2 
'% of Successful Exits'")</f>
        <v>N/A</v>
      </c>
      <c r="E55" s="271"/>
      <c r="F55" s="271"/>
      <c r="G55" s="272" t="s">
        <v>130</v>
      </c>
      <c r="H55" s="249">
        <f>IF(OR(E55&gt;=95%,F56&gt;=95%),20,IF(OR(E55&gt;=92%,F56&gt;=92%),10,IF(OR(E55&lt;92%,F56,92%),0,0)))</f>
        <v>0</v>
      </c>
      <c r="I55" s="250">
        <v>20</v>
      </c>
      <c r="J55" s="273"/>
      <c r="K55" s="273"/>
      <c r="L55" s="274"/>
    </row>
    <row r="56" spans="1:14" ht="40.200000000000003" customHeight="1" x14ac:dyDescent="0.3">
      <c r="A56" s="39"/>
      <c r="B56" s="269"/>
      <c r="C56" s="270"/>
      <c r="D56" s="76" t="str">
        <f>IF(G2="PSH","N/A","APR 23c  'Total persons whose destinations excluded them from the calculation'")</f>
        <v>APR 23c  'Total persons whose destinations excluded them from the calculation'</v>
      </c>
      <c r="E56" s="4"/>
      <c r="F56" s="231">
        <f>IF(OR(E57="",E56=""),0,((D5-D7+E57-E56)/D5))</f>
        <v>0</v>
      </c>
      <c r="G56" s="272"/>
      <c r="H56" s="249"/>
      <c r="I56" s="250"/>
      <c r="J56" s="273"/>
      <c r="K56" s="273"/>
      <c r="L56" s="274"/>
    </row>
    <row r="57" spans="1:14" ht="41.4" customHeight="1" x14ac:dyDescent="0.3">
      <c r="A57" s="39"/>
      <c r="B57" s="269"/>
      <c r="C57" s="270"/>
      <c r="D57" s="76" t="str">
        <f>IF(G2="PSH","N/A","APR 23c  'Total persons exiting to Permanent Housing Destinations'")</f>
        <v>APR 23c  'Total persons exiting to Permanent Housing Destinations'</v>
      </c>
      <c r="E57" s="4"/>
      <c r="F57" s="232"/>
      <c r="G57" s="272"/>
      <c r="H57" s="249"/>
      <c r="I57" s="250"/>
      <c r="J57" s="273"/>
      <c r="K57" s="273"/>
      <c r="L57" s="274"/>
    </row>
    <row r="58" spans="1:14" x14ac:dyDescent="0.3">
      <c r="A58" s="39"/>
      <c r="B58" s="263" t="s">
        <v>58</v>
      </c>
      <c r="C58" s="263"/>
      <c r="D58" s="263"/>
      <c r="E58" s="263"/>
      <c r="F58" s="263"/>
      <c r="G58" s="263"/>
      <c r="H58" s="56">
        <f>SUM(H50:H57)</f>
        <v>0</v>
      </c>
      <c r="I58" s="57">
        <v>20</v>
      </c>
      <c r="J58" s="264"/>
      <c r="K58" s="264"/>
      <c r="L58" s="265"/>
    </row>
    <row r="59" spans="1:14" x14ac:dyDescent="0.3">
      <c r="A59" s="77"/>
      <c r="B59" s="227"/>
      <c r="C59" s="227"/>
      <c r="D59" s="227"/>
      <c r="E59" s="227"/>
      <c r="F59" s="227"/>
      <c r="G59" s="227"/>
      <c r="H59" s="227"/>
      <c r="I59" s="227"/>
      <c r="J59" s="227"/>
      <c r="K59" s="227"/>
      <c r="L59" s="228"/>
    </row>
    <row r="60" spans="1:14" x14ac:dyDescent="0.3">
      <c r="A60" s="39">
        <v>6</v>
      </c>
      <c r="B60" s="261" t="s">
        <v>59</v>
      </c>
      <c r="C60" s="261"/>
      <c r="D60" s="261"/>
      <c r="E60" s="261"/>
      <c r="F60" s="261"/>
      <c r="G60" s="261"/>
      <c r="H60" s="261"/>
      <c r="I60" s="261"/>
      <c r="J60" s="261"/>
      <c r="K60" s="261"/>
      <c r="L60" s="262"/>
    </row>
    <row r="61" spans="1:14" ht="55.8" customHeight="1" x14ac:dyDescent="0.3">
      <c r="A61" s="39"/>
      <c r="B61" s="42" t="s">
        <v>11</v>
      </c>
      <c r="C61" s="43" t="s">
        <v>12</v>
      </c>
      <c r="D61" s="44" t="s">
        <v>13</v>
      </c>
      <c r="E61" s="164" t="s">
        <v>3</v>
      </c>
      <c r="F61" s="165"/>
      <c r="G61" s="43" t="s">
        <v>15</v>
      </c>
      <c r="H61" s="43" t="s">
        <v>16</v>
      </c>
      <c r="I61" s="45" t="s">
        <v>17</v>
      </c>
      <c r="J61" s="166" t="s">
        <v>18</v>
      </c>
      <c r="K61" s="166"/>
      <c r="L61" s="167"/>
    </row>
    <row r="62" spans="1:14" ht="16.95" customHeight="1" x14ac:dyDescent="0.3">
      <c r="A62" s="39">
        <v>6.1</v>
      </c>
      <c r="B62" s="251" t="s">
        <v>60</v>
      </c>
      <c r="C62" s="246" t="s">
        <v>122</v>
      </c>
      <c r="D62" s="252" t="s">
        <v>61</v>
      </c>
      <c r="E62" s="255"/>
      <c r="F62" s="256"/>
      <c r="G62" s="248" t="s">
        <v>131</v>
      </c>
      <c r="H62" s="249">
        <f>IF(E62="",0,IF(E62&lt;=30,20,IF(E62&lt;=60,15,IF(E62&gt;60,0,))))</f>
        <v>0</v>
      </c>
      <c r="I62" s="242">
        <v>20</v>
      </c>
      <c r="J62" s="243"/>
      <c r="K62" s="243"/>
      <c r="L62" s="244"/>
    </row>
    <row r="63" spans="1:14" ht="15" customHeight="1" x14ac:dyDescent="0.3">
      <c r="A63" s="39"/>
      <c r="B63" s="251"/>
      <c r="C63" s="246"/>
      <c r="D63" s="253"/>
      <c r="E63" s="257"/>
      <c r="F63" s="258"/>
      <c r="G63" s="248"/>
      <c r="H63" s="249"/>
      <c r="I63" s="242"/>
      <c r="J63" s="243"/>
      <c r="K63" s="243"/>
      <c r="L63" s="244"/>
    </row>
    <row r="64" spans="1:14" ht="15" customHeight="1" x14ac:dyDescent="0.3">
      <c r="A64" s="39"/>
      <c r="B64" s="251"/>
      <c r="C64" s="246"/>
      <c r="D64" s="253"/>
      <c r="E64" s="257"/>
      <c r="F64" s="258"/>
      <c r="G64" s="248"/>
      <c r="H64" s="249"/>
      <c r="I64" s="242"/>
      <c r="J64" s="243"/>
      <c r="K64" s="243"/>
      <c r="L64" s="244"/>
      <c r="N64" s="81"/>
    </row>
    <row r="65" spans="1:14" ht="15" customHeight="1" x14ac:dyDescent="0.35">
      <c r="A65" s="39"/>
      <c r="B65" s="251"/>
      <c r="C65" s="246"/>
      <c r="D65" s="253"/>
      <c r="E65" s="257"/>
      <c r="F65" s="258"/>
      <c r="G65" s="248"/>
      <c r="H65" s="249"/>
      <c r="I65" s="242"/>
      <c r="J65" s="243"/>
      <c r="K65" s="243"/>
      <c r="L65" s="244"/>
      <c r="N65" s="66"/>
    </row>
    <row r="66" spans="1:14" ht="15" customHeight="1" x14ac:dyDescent="0.3">
      <c r="A66" s="39"/>
      <c r="B66" s="251"/>
      <c r="C66" s="246"/>
      <c r="D66" s="254"/>
      <c r="E66" s="259"/>
      <c r="F66" s="260"/>
      <c r="G66" s="248"/>
      <c r="H66" s="249"/>
      <c r="I66" s="242"/>
      <c r="J66" s="243"/>
      <c r="K66" s="243"/>
      <c r="L66" s="244"/>
    </row>
    <row r="67" spans="1:14" ht="16.95" customHeight="1" x14ac:dyDescent="0.3">
      <c r="A67" s="39">
        <v>6.2</v>
      </c>
      <c r="B67" s="245" t="s">
        <v>62</v>
      </c>
      <c r="C67" s="246" t="s">
        <v>123</v>
      </c>
      <c r="D67" s="82" t="s">
        <v>63</v>
      </c>
      <c r="E67" s="5"/>
      <c r="F67" s="247">
        <f>IF(D9="",0,SUM(E67:E70)*0.25/D9)</f>
        <v>0</v>
      </c>
      <c r="G67" s="248" t="s">
        <v>132</v>
      </c>
      <c r="H67" s="249">
        <f>IF(F67&gt;=95%,10,IF(F67&gt;=90%,7.5,IF(F67&lt;90%,0)))</f>
        <v>0</v>
      </c>
      <c r="I67" s="250">
        <v>10</v>
      </c>
      <c r="J67" s="243"/>
      <c r="K67" s="243"/>
      <c r="L67" s="244"/>
    </row>
    <row r="68" spans="1:14" ht="15" customHeight="1" x14ac:dyDescent="0.3">
      <c r="A68" s="39"/>
      <c r="B68" s="245"/>
      <c r="C68" s="246"/>
      <c r="D68" s="82" t="s">
        <v>64</v>
      </c>
      <c r="E68" s="5"/>
      <c r="F68" s="247"/>
      <c r="G68" s="248"/>
      <c r="H68" s="249"/>
      <c r="I68" s="250"/>
      <c r="J68" s="243"/>
      <c r="K68" s="243"/>
      <c r="L68" s="244"/>
    </row>
    <row r="69" spans="1:14" ht="15" customHeight="1" x14ac:dyDescent="0.3">
      <c r="A69" s="39"/>
      <c r="B69" s="245"/>
      <c r="C69" s="246"/>
      <c r="D69" s="82" t="s">
        <v>65</v>
      </c>
      <c r="E69" s="5"/>
      <c r="F69" s="247"/>
      <c r="G69" s="248"/>
      <c r="H69" s="249"/>
      <c r="I69" s="250"/>
      <c r="J69" s="243"/>
      <c r="K69" s="243"/>
      <c r="L69" s="244"/>
    </row>
    <row r="70" spans="1:14" ht="15" customHeight="1" x14ac:dyDescent="0.3">
      <c r="A70" s="39"/>
      <c r="B70" s="245"/>
      <c r="C70" s="246"/>
      <c r="D70" s="82" t="s">
        <v>66</v>
      </c>
      <c r="E70" s="5"/>
      <c r="F70" s="247"/>
      <c r="G70" s="248"/>
      <c r="H70" s="249"/>
      <c r="I70" s="250"/>
      <c r="J70" s="243"/>
      <c r="K70" s="243"/>
      <c r="L70" s="244"/>
    </row>
    <row r="71" spans="1:14" ht="15" customHeight="1" x14ac:dyDescent="0.3">
      <c r="A71" s="83">
        <v>6.3</v>
      </c>
      <c r="B71" s="84" t="s">
        <v>71</v>
      </c>
      <c r="C71" s="85" t="s">
        <v>68</v>
      </c>
      <c r="D71" s="82" t="s">
        <v>136</v>
      </c>
      <c r="E71" s="235"/>
      <c r="F71" s="236"/>
      <c r="G71" s="54" t="s">
        <v>69</v>
      </c>
      <c r="H71" s="86">
        <f>E71</f>
        <v>0</v>
      </c>
      <c r="I71" s="63">
        <v>5</v>
      </c>
      <c r="J71" s="9"/>
      <c r="K71" s="10"/>
      <c r="L71" s="11"/>
    </row>
    <row r="72" spans="1:14" ht="15" customHeight="1" x14ac:dyDescent="0.3">
      <c r="A72" s="83"/>
      <c r="B72" s="84" t="s">
        <v>67</v>
      </c>
      <c r="C72" s="85" t="s">
        <v>68</v>
      </c>
      <c r="D72" s="82" t="s">
        <v>137</v>
      </c>
      <c r="E72" s="235"/>
      <c r="F72" s="236"/>
      <c r="G72" s="54" t="s">
        <v>69</v>
      </c>
      <c r="H72" s="86">
        <f t="shared" ref="H72:H74" si="0">E72</f>
        <v>0</v>
      </c>
      <c r="I72" s="63">
        <v>5</v>
      </c>
      <c r="J72" s="9"/>
      <c r="K72" s="10"/>
      <c r="L72" s="11"/>
    </row>
    <row r="73" spans="1:14" ht="15" customHeight="1" x14ac:dyDescent="0.3">
      <c r="A73" s="83"/>
      <c r="B73" s="84" t="s">
        <v>138</v>
      </c>
      <c r="C73" s="85" t="s">
        <v>68</v>
      </c>
      <c r="D73" s="82" t="s">
        <v>140</v>
      </c>
      <c r="E73" s="235"/>
      <c r="F73" s="236"/>
      <c r="G73" s="54" t="s">
        <v>69</v>
      </c>
      <c r="H73" s="86">
        <f t="shared" si="0"/>
        <v>0</v>
      </c>
      <c r="I73" s="63">
        <v>5</v>
      </c>
      <c r="J73" s="9"/>
      <c r="K73" s="10"/>
      <c r="L73" s="11"/>
    </row>
    <row r="74" spans="1:14" ht="15" customHeight="1" x14ac:dyDescent="0.3">
      <c r="A74" s="83"/>
      <c r="B74" s="84" t="s">
        <v>70</v>
      </c>
      <c r="C74" s="85" t="s">
        <v>68</v>
      </c>
      <c r="D74" s="82" t="s">
        <v>139</v>
      </c>
      <c r="E74" s="235"/>
      <c r="F74" s="236"/>
      <c r="G74" s="54" t="s">
        <v>69</v>
      </c>
      <c r="H74" s="86">
        <f t="shared" si="0"/>
        <v>0</v>
      </c>
      <c r="I74" s="63">
        <v>5</v>
      </c>
      <c r="J74" s="9"/>
      <c r="K74" s="10"/>
      <c r="L74" s="11"/>
    </row>
    <row r="75" spans="1:14" ht="17.399999999999999" customHeight="1" x14ac:dyDescent="0.3">
      <c r="A75" s="39"/>
      <c r="B75" s="237" t="s">
        <v>72</v>
      </c>
      <c r="C75" s="237"/>
      <c r="D75" s="237"/>
      <c r="E75" s="237"/>
      <c r="F75" s="237"/>
      <c r="G75" s="238"/>
      <c r="H75" s="80">
        <f>SUM(H62:H74)</f>
        <v>0</v>
      </c>
      <c r="I75" s="87">
        <f>SUM(I62:I74)</f>
        <v>50</v>
      </c>
      <c r="J75" s="239"/>
      <c r="K75" s="240"/>
      <c r="L75" s="241"/>
    </row>
    <row r="76" spans="1:14" ht="8.4" customHeight="1" x14ac:dyDescent="0.3">
      <c r="A76" s="77"/>
      <c r="B76" s="227"/>
      <c r="C76" s="227"/>
      <c r="D76" s="227"/>
      <c r="E76" s="227"/>
      <c r="F76" s="227"/>
      <c r="G76" s="227"/>
      <c r="H76" s="227"/>
      <c r="I76" s="227"/>
      <c r="J76" s="227"/>
      <c r="K76" s="227"/>
      <c r="L76" s="228"/>
    </row>
    <row r="77" spans="1:14" x14ac:dyDescent="0.3">
      <c r="A77" s="39">
        <v>7</v>
      </c>
      <c r="B77" s="175" t="s">
        <v>73</v>
      </c>
      <c r="C77" s="175"/>
      <c r="D77" s="175"/>
      <c r="E77" s="175"/>
      <c r="F77" s="175"/>
      <c r="G77" s="175"/>
      <c r="H77" s="175"/>
      <c r="I77" s="175"/>
      <c r="J77" s="175"/>
      <c r="K77" s="175"/>
      <c r="L77" s="176"/>
    </row>
    <row r="78" spans="1:14" ht="31.2" customHeight="1" x14ac:dyDescent="0.3">
      <c r="A78" s="39"/>
      <c r="B78" s="88" t="s">
        <v>11</v>
      </c>
      <c r="C78" s="43" t="s">
        <v>12</v>
      </c>
      <c r="D78" s="44" t="s">
        <v>13</v>
      </c>
      <c r="E78" s="43" t="s">
        <v>3</v>
      </c>
      <c r="F78" s="43" t="s">
        <v>14</v>
      </c>
      <c r="G78" s="43" t="s">
        <v>15</v>
      </c>
      <c r="H78" s="43" t="s">
        <v>16</v>
      </c>
      <c r="I78" s="45" t="s">
        <v>17</v>
      </c>
      <c r="J78" s="166" t="s">
        <v>18</v>
      </c>
      <c r="K78" s="166"/>
      <c r="L78" s="167"/>
    </row>
    <row r="79" spans="1:14" s="46" customFormat="1" ht="49.95" customHeight="1" x14ac:dyDescent="0.3">
      <c r="A79" s="39">
        <v>7.1</v>
      </c>
      <c r="B79" s="229" t="s">
        <v>74</v>
      </c>
      <c r="C79" s="208" t="s">
        <v>75</v>
      </c>
      <c r="D79" s="89" t="s">
        <v>76</v>
      </c>
      <c r="E79" s="6"/>
      <c r="F79" s="231">
        <f>IF(E80="",0,E80/E79)</f>
        <v>0</v>
      </c>
      <c r="G79" s="214" t="s">
        <v>77</v>
      </c>
      <c r="H79" s="233">
        <f>IF(E79="",0,IF(F79&lt;=5%,20,IF(F79&lt;=10%,5,IF(F79&gt;10%,0,0))))</f>
        <v>0</v>
      </c>
      <c r="I79" s="208">
        <v>20</v>
      </c>
      <c r="J79" s="196"/>
      <c r="K79" s="197"/>
      <c r="L79" s="198"/>
    </row>
    <row r="80" spans="1:14" s="46" customFormat="1" ht="49.95" customHeight="1" x14ac:dyDescent="0.3">
      <c r="A80" s="39"/>
      <c r="B80" s="230"/>
      <c r="C80" s="210"/>
      <c r="D80" s="89" t="s">
        <v>78</v>
      </c>
      <c r="E80" s="6"/>
      <c r="F80" s="232"/>
      <c r="G80" s="216"/>
      <c r="H80" s="234"/>
      <c r="I80" s="210"/>
      <c r="J80" s="202"/>
      <c r="K80" s="203"/>
      <c r="L80" s="204"/>
    </row>
    <row r="81" spans="1:12" ht="28.8" x14ac:dyDescent="0.3">
      <c r="A81" s="39">
        <v>7.2</v>
      </c>
      <c r="B81" s="78" t="s">
        <v>79</v>
      </c>
      <c r="C81" s="90" t="s">
        <v>80</v>
      </c>
      <c r="D81" s="91"/>
      <c r="E81" s="220"/>
      <c r="F81" s="221"/>
      <c r="G81" s="92" t="s">
        <v>81</v>
      </c>
      <c r="H81" s="93">
        <f>IF(E81="Yes",-10,IF(E81="No",0,0))</f>
        <v>0</v>
      </c>
      <c r="I81" s="72">
        <v>0</v>
      </c>
      <c r="J81" s="222"/>
      <c r="K81" s="222"/>
      <c r="L81" s="223"/>
    </row>
    <row r="82" spans="1:12" s="46" customFormat="1" ht="27.6" hidden="1" x14ac:dyDescent="0.3">
      <c r="A82" s="39"/>
      <c r="B82" s="207" t="s">
        <v>82</v>
      </c>
      <c r="C82" s="208" t="s">
        <v>83</v>
      </c>
      <c r="D82" s="94" t="s">
        <v>84</v>
      </c>
      <c r="E82" s="7"/>
      <c r="F82" s="224">
        <f>IF(E82="",0,(((E84/D5)*(D7-(E83+E82))/E84)))</f>
        <v>0</v>
      </c>
      <c r="G82" s="214" t="s">
        <v>85</v>
      </c>
      <c r="H82" s="217">
        <f>IF(E84="",0,IF(F82&lt;=10%,15,IF(F82&lt;=13%,7.5,IF(F82&gt;13%,0,0))))</f>
        <v>0</v>
      </c>
      <c r="I82" s="208">
        <v>15</v>
      </c>
      <c r="J82" s="196"/>
      <c r="K82" s="197"/>
      <c r="L82" s="198"/>
    </row>
    <row r="83" spans="1:12" s="46" customFormat="1" ht="27.6" hidden="1" x14ac:dyDescent="0.3">
      <c r="A83" s="39">
        <v>7.3</v>
      </c>
      <c r="B83" s="207"/>
      <c r="C83" s="209"/>
      <c r="D83" s="94" t="s">
        <v>86</v>
      </c>
      <c r="E83" s="8"/>
      <c r="F83" s="225"/>
      <c r="G83" s="215"/>
      <c r="H83" s="218"/>
      <c r="I83" s="209"/>
      <c r="J83" s="199"/>
      <c r="K83" s="200"/>
      <c r="L83" s="201"/>
    </row>
    <row r="84" spans="1:12" s="46" customFormat="1" ht="27.6" hidden="1" x14ac:dyDescent="0.3">
      <c r="A84" s="39"/>
      <c r="B84" s="207"/>
      <c r="C84" s="210"/>
      <c r="D84" s="95" t="s">
        <v>87</v>
      </c>
      <c r="E84" s="8"/>
      <c r="F84" s="226"/>
      <c r="G84" s="216"/>
      <c r="H84" s="219"/>
      <c r="I84" s="210"/>
      <c r="J84" s="202"/>
      <c r="K84" s="203"/>
      <c r="L84" s="204"/>
    </row>
    <row r="85" spans="1:12" s="46" customFormat="1" ht="27.6" customHeight="1" x14ac:dyDescent="0.3">
      <c r="A85" s="39"/>
      <c r="B85" s="207" t="s">
        <v>88</v>
      </c>
      <c r="C85" s="208" t="s">
        <v>143</v>
      </c>
      <c r="D85" s="94" t="s">
        <v>84</v>
      </c>
      <c r="E85" s="7"/>
      <c r="F85" s="211">
        <f>IF(E85="",0,(((E87/D5)*(D7-(E86+E85))/E87)))</f>
        <v>0</v>
      </c>
      <c r="G85" s="214" t="s">
        <v>85</v>
      </c>
      <c r="H85" s="217">
        <f>IF(E87="",0,IF(F85&lt;=10%,15,IF(F85&lt;=13%,7.5,IF(F85&gt;13%,0,0))))</f>
        <v>0</v>
      </c>
      <c r="I85" s="208">
        <v>15</v>
      </c>
      <c r="J85" s="196"/>
      <c r="K85" s="197"/>
      <c r="L85" s="198"/>
    </row>
    <row r="86" spans="1:12" s="46" customFormat="1" ht="27.6" customHeight="1" x14ac:dyDescent="0.3">
      <c r="A86" s="39">
        <v>7.3</v>
      </c>
      <c r="B86" s="207"/>
      <c r="C86" s="209"/>
      <c r="D86" s="94" t="s">
        <v>86</v>
      </c>
      <c r="E86" s="8"/>
      <c r="F86" s="212"/>
      <c r="G86" s="215"/>
      <c r="H86" s="218"/>
      <c r="I86" s="209"/>
      <c r="J86" s="199"/>
      <c r="K86" s="200"/>
      <c r="L86" s="201"/>
    </row>
    <row r="87" spans="1:12" s="46" customFormat="1" ht="27.6" customHeight="1" x14ac:dyDescent="0.3">
      <c r="A87" s="39"/>
      <c r="B87" s="207"/>
      <c r="C87" s="210"/>
      <c r="D87" s="95" t="s">
        <v>89</v>
      </c>
      <c r="E87" s="8"/>
      <c r="F87" s="213"/>
      <c r="G87" s="216"/>
      <c r="H87" s="219"/>
      <c r="I87" s="210"/>
      <c r="J87" s="202"/>
      <c r="K87" s="203"/>
      <c r="L87" s="204"/>
    </row>
    <row r="88" spans="1:12" x14ac:dyDescent="0.3">
      <c r="A88" s="39"/>
      <c r="B88" s="191" t="s">
        <v>90</v>
      </c>
      <c r="C88" s="191"/>
      <c r="D88" s="191"/>
      <c r="E88" s="191"/>
      <c r="F88" s="191"/>
      <c r="G88" s="192"/>
      <c r="H88" s="56">
        <f>SUM(H79:H87)</f>
        <v>0</v>
      </c>
      <c r="I88" s="56">
        <v>35</v>
      </c>
      <c r="J88" s="205"/>
      <c r="K88" s="205"/>
      <c r="L88" s="206"/>
    </row>
    <row r="89" spans="1:12" ht="15.6" x14ac:dyDescent="0.3">
      <c r="A89" s="96" t="e">
        <f>D7-SUM(#REF!)</f>
        <v>#REF!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8"/>
    </row>
    <row r="90" spans="1:12" x14ac:dyDescent="0.3">
      <c r="A90" s="39">
        <v>8</v>
      </c>
      <c r="B90" s="174" t="s">
        <v>91</v>
      </c>
      <c r="C90" s="175"/>
      <c r="D90" s="175"/>
      <c r="E90" s="175"/>
      <c r="F90" s="175"/>
      <c r="G90" s="175"/>
      <c r="H90" s="175"/>
      <c r="I90" s="175"/>
      <c r="J90" s="175"/>
      <c r="K90" s="175"/>
      <c r="L90" s="176"/>
    </row>
    <row r="91" spans="1:12" ht="33.6" customHeight="1" x14ac:dyDescent="0.3">
      <c r="A91" s="39"/>
      <c r="B91" s="88" t="s">
        <v>11</v>
      </c>
      <c r="C91" s="43" t="s">
        <v>12</v>
      </c>
      <c r="D91" s="44" t="s">
        <v>13</v>
      </c>
      <c r="E91" s="182" t="s">
        <v>3</v>
      </c>
      <c r="F91" s="182"/>
      <c r="G91" s="43" t="s">
        <v>15</v>
      </c>
      <c r="H91" s="43" t="s">
        <v>16</v>
      </c>
      <c r="I91" s="45" t="s">
        <v>17</v>
      </c>
      <c r="J91" s="166" t="s">
        <v>18</v>
      </c>
      <c r="K91" s="166"/>
      <c r="L91" s="167"/>
    </row>
    <row r="92" spans="1:12" ht="62.4" x14ac:dyDescent="0.3">
      <c r="A92" s="39">
        <v>8.1</v>
      </c>
      <c r="B92" s="99" t="s">
        <v>92</v>
      </c>
      <c r="C92" s="100">
        <v>0</v>
      </c>
      <c r="D92" s="101" t="s">
        <v>93</v>
      </c>
      <c r="E92" s="195"/>
      <c r="F92" s="195"/>
      <c r="G92" s="51" t="s">
        <v>133</v>
      </c>
      <c r="H92" s="102">
        <f>IF(E92="",0,IF(E92=0%,7.5,IF(E92&lt;=2%,5,IF(E92&lt;=5%,2.5,IF(E92&gt;5%,0)))))</f>
        <v>0</v>
      </c>
      <c r="I92" s="55">
        <v>7.5</v>
      </c>
      <c r="J92" s="188"/>
      <c r="K92" s="188"/>
      <c r="L92" s="189"/>
    </row>
    <row r="93" spans="1:12" ht="62.4" x14ac:dyDescent="0.3">
      <c r="A93" s="39">
        <v>8.1999999999999993</v>
      </c>
      <c r="B93" s="99" t="s">
        <v>94</v>
      </c>
      <c r="C93" s="100">
        <v>0</v>
      </c>
      <c r="D93" s="101" t="s">
        <v>95</v>
      </c>
      <c r="E93" s="187"/>
      <c r="F93" s="187"/>
      <c r="G93" s="51" t="s">
        <v>134</v>
      </c>
      <c r="H93" s="102">
        <f>IF(E93="",0,IF(E93=0,7.5,IF(E93=1,5,IF(E93&lt;=4,2.5,IF(E93&gt;=5,0)))))</f>
        <v>0</v>
      </c>
      <c r="I93" s="55">
        <v>7.5</v>
      </c>
      <c r="J93" s="188"/>
      <c r="K93" s="188"/>
      <c r="L93" s="189"/>
    </row>
    <row r="94" spans="1:12" ht="62.4" x14ac:dyDescent="0.3">
      <c r="A94" s="39">
        <v>8.3000000000000007</v>
      </c>
      <c r="B94" s="99" t="s">
        <v>96</v>
      </c>
      <c r="C94" s="100">
        <v>0</v>
      </c>
      <c r="D94" s="101" t="s">
        <v>97</v>
      </c>
      <c r="E94" s="187"/>
      <c r="F94" s="187"/>
      <c r="G94" s="51" t="s">
        <v>134</v>
      </c>
      <c r="H94" s="102">
        <f>IF(E94="",0,IF(E94=0,7.5,IF(E94=1,5,IF(E94&lt;=4,2.5,IF(E94&gt;=5,0)))))</f>
        <v>0</v>
      </c>
      <c r="I94" s="55">
        <v>7.5</v>
      </c>
      <c r="J94" s="188"/>
      <c r="K94" s="188"/>
      <c r="L94" s="189"/>
    </row>
    <row r="95" spans="1:12" ht="62.4" x14ac:dyDescent="0.3">
      <c r="A95" s="39">
        <v>8.4</v>
      </c>
      <c r="B95" s="99" t="s">
        <v>98</v>
      </c>
      <c r="C95" s="100">
        <v>0</v>
      </c>
      <c r="D95" s="101" t="s">
        <v>99</v>
      </c>
      <c r="E95" s="187"/>
      <c r="F95" s="187"/>
      <c r="G95" s="51" t="s">
        <v>134</v>
      </c>
      <c r="H95" s="102">
        <f>IF(E95="",0,IF(E95=0,7.5,IF(E95=1,5,IF(E95&lt;=4,2.5,IF(E95&gt;=5,0)))))</f>
        <v>0</v>
      </c>
      <c r="I95" s="55">
        <v>7.5</v>
      </c>
      <c r="J95" s="188"/>
      <c r="K95" s="188"/>
      <c r="L95" s="189"/>
    </row>
    <row r="96" spans="1:12" x14ac:dyDescent="0.3">
      <c r="A96" s="39"/>
      <c r="B96" s="190" t="s">
        <v>100</v>
      </c>
      <c r="C96" s="191"/>
      <c r="D96" s="191"/>
      <c r="E96" s="191"/>
      <c r="F96" s="191"/>
      <c r="G96" s="192"/>
      <c r="H96" s="56">
        <f>SUM(H92:H95)</f>
        <v>0</v>
      </c>
      <c r="I96" s="57">
        <f>SUM(I92:I95)</f>
        <v>30</v>
      </c>
      <c r="J96" s="193"/>
      <c r="K96" s="193"/>
      <c r="L96" s="194"/>
    </row>
    <row r="97" spans="1:12" x14ac:dyDescent="0.3">
      <c r="A97" s="171"/>
      <c r="B97" s="172"/>
      <c r="C97" s="172"/>
      <c r="D97" s="172"/>
      <c r="E97" s="172"/>
      <c r="F97" s="172"/>
      <c r="G97" s="172"/>
      <c r="H97" s="172"/>
      <c r="I97" s="172"/>
      <c r="J97" s="172"/>
      <c r="K97" s="172"/>
      <c r="L97" s="173"/>
    </row>
    <row r="98" spans="1:12" x14ac:dyDescent="0.3">
      <c r="A98" s="39">
        <v>9</v>
      </c>
      <c r="B98" s="174" t="s">
        <v>101</v>
      </c>
      <c r="C98" s="175"/>
      <c r="D98" s="175"/>
      <c r="E98" s="175"/>
      <c r="F98" s="175"/>
      <c r="G98" s="175"/>
      <c r="H98" s="175"/>
      <c r="I98" s="175"/>
      <c r="J98" s="175"/>
      <c r="K98" s="175"/>
      <c r="L98" s="176"/>
    </row>
    <row r="99" spans="1:12" ht="31.2" x14ac:dyDescent="0.3">
      <c r="A99" s="39"/>
      <c r="B99" s="88" t="s">
        <v>11</v>
      </c>
      <c r="C99" s="43" t="s">
        <v>12</v>
      </c>
      <c r="D99" s="44" t="s">
        <v>13</v>
      </c>
      <c r="E99" s="182" t="s">
        <v>3</v>
      </c>
      <c r="F99" s="182"/>
      <c r="G99" s="43" t="s">
        <v>15</v>
      </c>
      <c r="H99" s="43" t="s">
        <v>16</v>
      </c>
      <c r="I99" s="45" t="s">
        <v>17</v>
      </c>
      <c r="J99" s="166" t="s">
        <v>18</v>
      </c>
      <c r="K99" s="166"/>
      <c r="L99" s="167"/>
    </row>
    <row r="100" spans="1:12" s="46" customFormat="1" ht="57.6" x14ac:dyDescent="0.3">
      <c r="A100" s="39">
        <v>9.1</v>
      </c>
      <c r="B100" s="103" t="s">
        <v>102</v>
      </c>
      <c r="C100" s="104" t="s">
        <v>144</v>
      </c>
      <c r="D100" s="79" t="s">
        <v>103</v>
      </c>
      <c r="E100" s="183"/>
      <c r="F100" s="184"/>
      <c r="G100" s="52" t="s">
        <v>104</v>
      </c>
      <c r="H100" s="3">
        <f>IF(E100&gt;=75%,10,IF(E100&gt;=50%,5,IF(E100&gt;=25%,2.5,IF(E100&lt;25%,0,"N/A"))))</f>
        <v>0</v>
      </c>
      <c r="I100" s="52">
        <v>10</v>
      </c>
      <c r="J100" s="168"/>
      <c r="K100" s="169"/>
      <c r="L100" s="170"/>
    </row>
    <row r="101" spans="1:12" x14ac:dyDescent="0.3">
      <c r="A101" s="39"/>
      <c r="B101" s="155" t="s">
        <v>105</v>
      </c>
      <c r="C101" s="185"/>
      <c r="D101" s="185"/>
      <c r="E101" s="185"/>
      <c r="F101" s="185"/>
      <c r="G101" s="186"/>
      <c r="H101" s="105">
        <f>SUM(H100:H100)</f>
        <v>0</v>
      </c>
      <c r="I101" s="106">
        <v>10</v>
      </c>
      <c r="J101" s="158"/>
      <c r="K101" s="159"/>
      <c r="L101" s="160"/>
    </row>
    <row r="102" spans="1:12" x14ac:dyDescent="0.3">
      <c r="A102" s="171"/>
      <c r="B102" s="172"/>
      <c r="C102" s="172"/>
      <c r="D102" s="172"/>
      <c r="E102" s="172"/>
      <c r="F102" s="172"/>
      <c r="G102" s="172"/>
      <c r="H102" s="172"/>
      <c r="I102" s="172"/>
      <c r="J102" s="172"/>
      <c r="K102" s="172"/>
      <c r="L102" s="173"/>
    </row>
    <row r="103" spans="1:12" x14ac:dyDescent="0.3">
      <c r="A103" s="39">
        <v>10</v>
      </c>
      <c r="B103" s="174" t="s">
        <v>106</v>
      </c>
      <c r="C103" s="175"/>
      <c r="D103" s="175"/>
      <c r="E103" s="175"/>
      <c r="F103" s="175"/>
      <c r="G103" s="175"/>
      <c r="H103" s="175"/>
      <c r="I103" s="175"/>
      <c r="J103" s="175"/>
      <c r="K103" s="175"/>
      <c r="L103" s="176"/>
    </row>
    <row r="104" spans="1:12" ht="31.2" x14ac:dyDescent="0.3">
      <c r="A104" s="39"/>
      <c r="B104" s="88" t="s">
        <v>11</v>
      </c>
      <c r="C104" s="43" t="s">
        <v>12</v>
      </c>
      <c r="D104" s="44" t="s">
        <v>13</v>
      </c>
      <c r="E104" s="164" t="s">
        <v>3</v>
      </c>
      <c r="F104" s="165"/>
      <c r="G104" s="43" t="s">
        <v>15</v>
      </c>
      <c r="H104" s="43" t="s">
        <v>16</v>
      </c>
      <c r="I104" s="45" t="s">
        <v>17</v>
      </c>
      <c r="J104" s="177" t="s">
        <v>18</v>
      </c>
      <c r="K104" s="178"/>
      <c r="L104" s="179"/>
    </row>
    <row r="105" spans="1:12" ht="43.2" x14ac:dyDescent="0.3">
      <c r="A105" s="39">
        <v>10.1</v>
      </c>
      <c r="B105" s="103" t="s">
        <v>107</v>
      </c>
      <c r="C105" s="107">
        <v>0</v>
      </c>
      <c r="D105" s="79" t="s">
        <v>108</v>
      </c>
      <c r="E105" s="180"/>
      <c r="F105" s="181"/>
      <c r="G105" s="52" t="s">
        <v>109</v>
      </c>
      <c r="H105" s="3">
        <f>IF(E105="",0,IF(E105=0,0,IF(E105=1,-5,IF(E105=2,-5,IF(E105=3,-5,IF(E105&gt;=4,-10,0))))))</f>
        <v>0</v>
      </c>
      <c r="I105" s="52">
        <v>0</v>
      </c>
      <c r="J105" s="168"/>
      <c r="K105" s="169"/>
      <c r="L105" s="170"/>
    </row>
    <row r="106" spans="1:12" ht="46.8" x14ac:dyDescent="0.3">
      <c r="A106" s="39">
        <v>10.199999999999999</v>
      </c>
      <c r="B106" s="108" t="s">
        <v>145</v>
      </c>
      <c r="C106" s="109" t="s">
        <v>110</v>
      </c>
      <c r="D106" s="79" t="s">
        <v>111</v>
      </c>
      <c r="E106" s="154"/>
      <c r="F106" s="154"/>
      <c r="G106" s="110" t="s">
        <v>112</v>
      </c>
      <c r="H106" s="3">
        <f>IF(E106="",0,IF(E106="yes",0,IF(E106="no", -5)))</f>
        <v>0</v>
      </c>
      <c r="I106" s="52">
        <v>0</v>
      </c>
      <c r="J106" s="168"/>
      <c r="K106" s="169"/>
      <c r="L106" s="170"/>
    </row>
    <row r="107" spans="1:12" x14ac:dyDescent="0.3">
      <c r="A107" s="39"/>
      <c r="B107" s="155" t="s">
        <v>113</v>
      </c>
      <c r="C107" s="156"/>
      <c r="D107" s="156"/>
      <c r="E107" s="156"/>
      <c r="F107" s="156"/>
      <c r="G107" s="157"/>
      <c r="H107" s="105">
        <f>SUM(H105:H106)</f>
        <v>0</v>
      </c>
      <c r="I107" s="106">
        <v>0</v>
      </c>
      <c r="J107" s="158"/>
      <c r="K107" s="159"/>
      <c r="L107" s="160"/>
    </row>
    <row r="108" spans="1:12" ht="14.4" x14ac:dyDescent="0.3">
      <c r="A108" s="161"/>
      <c r="B108" s="162"/>
      <c r="C108" s="162"/>
      <c r="D108" s="162"/>
      <c r="E108" s="162"/>
      <c r="F108" s="162"/>
      <c r="G108" s="162"/>
      <c r="H108" s="162"/>
      <c r="I108" s="162"/>
      <c r="J108" s="162"/>
      <c r="K108" s="162"/>
      <c r="L108" s="163"/>
    </row>
    <row r="109" spans="1:12" x14ac:dyDescent="0.3">
      <c r="A109" s="77">
        <v>11</v>
      </c>
      <c r="B109" s="111" t="s">
        <v>114</v>
      </c>
      <c r="C109" s="112"/>
      <c r="D109" s="113"/>
      <c r="E109" s="112"/>
      <c r="F109" s="112"/>
      <c r="G109" s="112"/>
      <c r="H109" s="112"/>
      <c r="I109" s="112"/>
      <c r="J109" s="114"/>
      <c r="K109" s="114"/>
      <c r="L109" s="115"/>
    </row>
    <row r="110" spans="1:12" ht="31.2" customHeight="1" x14ac:dyDescent="0.3">
      <c r="A110" s="77"/>
      <c r="B110" s="116" t="s">
        <v>11</v>
      </c>
      <c r="C110" s="117" t="s">
        <v>12</v>
      </c>
      <c r="D110" s="44" t="s">
        <v>13</v>
      </c>
      <c r="E110" s="164" t="s">
        <v>3</v>
      </c>
      <c r="F110" s="165"/>
      <c r="G110" s="43" t="s">
        <v>15</v>
      </c>
      <c r="H110" s="43" t="s">
        <v>16</v>
      </c>
      <c r="I110" s="45" t="s">
        <v>17</v>
      </c>
      <c r="J110" s="166" t="s">
        <v>18</v>
      </c>
      <c r="K110" s="166"/>
      <c r="L110" s="167"/>
    </row>
    <row r="111" spans="1:12" ht="28.8" x14ac:dyDescent="0.3">
      <c r="A111" s="77">
        <v>11.1</v>
      </c>
      <c r="B111" s="118" t="s">
        <v>115</v>
      </c>
      <c r="C111" s="119" t="s">
        <v>116</v>
      </c>
      <c r="D111" s="79" t="s">
        <v>117</v>
      </c>
      <c r="E111" s="138"/>
      <c r="F111" s="139"/>
      <c r="G111" s="52" t="s">
        <v>118</v>
      </c>
      <c r="H111" s="3">
        <f>IF(E111="Yes",10,IF(E111="No",0,0))</f>
        <v>0</v>
      </c>
      <c r="I111" s="52">
        <v>10</v>
      </c>
      <c r="J111" s="140"/>
      <c r="K111" s="141"/>
      <c r="L111" s="142"/>
    </row>
    <row r="112" spans="1:12" x14ac:dyDescent="0.3">
      <c r="A112" s="77"/>
      <c r="B112" s="120" t="s">
        <v>119</v>
      </c>
      <c r="C112" s="121"/>
      <c r="D112" s="122"/>
      <c r="E112" s="121"/>
      <c r="F112" s="121"/>
      <c r="G112" s="123"/>
      <c r="H112" s="124">
        <f>SUM(H111:H111)</f>
        <v>0</v>
      </c>
      <c r="I112" s="125">
        <v>10</v>
      </c>
      <c r="J112" s="143"/>
      <c r="K112" s="144"/>
      <c r="L112" s="145"/>
    </row>
    <row r="113" spans="1:12" x14ac:dyDescent="0.3">
      <c r="A113" s="77"/>
      <c r="B113" s="126"/>
      <c r="C113" s="127"/>
      <c r="D113" s="128"/>
      <c r="E113" s="127"/>
      <c r="F113" s="127"/>
      <c r="G113" s="127"/>
      <c r="H113" s="127"/>
      <c r="I113" s="127"/>
      <c r="J113" s="127"/>
      <c r="K113" s="127"/>
      <c r="L113" s="129"/>
    </row>
    <row r="114" spans="1:12" ht="21" x14ac:dyDescent="0.4">
      <c r="A114" s="77"/>
      <c r="B114" s="146" t="s">
        <v>120</v>
      </c>
      <c r="C114" s="146"/>
      <c r="D114" s="146"/>
      <c r="E114" s="146"/>
      <c r="F114" s="146"/>
      <c r="G114" s="147"/>
      <c r="H114" s="130">
        <f>SUM(H17,H46,H58,H75,H88,H96,H101,H107,H112)</f>
        <v>0</v>
      </c>
      <c r="I114" s="130">
        <f>SUM(I17,I46,I58,I75,I88,I96,I101,I107,I112)</f>
        <v>245</v>
      </c>
      <c r="J114" s="148"/>
      <c r="K114" s="149"/>
      <c r="L114" s="150"/>
    </row>
    <row r="115" spans="1:12" ht="21.6" thickBot="1" x14ac:dyDescent="0.45">
      <c r="A115" s="131"/>
      <c r="B115" s="151" t="s">
        <v>121</v>
      </c>
      <c r="C115" s="151"/>
      <c r="D115" s="151"/>
      <c r="E115" s="151"/>
      <c r="F115" s="151"/>
      <c r="G115" s="151"/>
      <c r="H115" s="132">
        <f>H114/I114</f>
        <v>0</v>
      </c>
      <c r="I115" s="133">
        <v>1</v>
      </c>
      <c r="J115" s="152"/>
      <c r="K115" s="152"/>
      <c r="L115" s="153"/>
    </row>
    <row r="129" spans="9:9" x14ac:dyDescent="0.3">
      <c r="I129" s="136"/>
    </row>
  </sheetData>
  <sheetProtection algorithmName="SHA-512" hashValue="SGkHc1H1F5Akpq4MZ8aOL10gdbWAfBFDR+6qMk+SeCpiwN+l+STNqYLdWCXa3rKgXLi2eUjOIWdE9XIB5+0vKA==" saltValue="AzWSBBJ6spvtUm5OL+ybrQ==" spinCount="100000" sheet="1" objects="1" scenarios="1"/>
  <mergeCells count="188">
    <mergeCell ref="A1:L1"/>
    <mergeCell ref="A2:C2"/>
    <mergeCell ref="D2:F2"/>
    <mergeCell ref="K2:L2"/>
    <mergeCell ref="A3:D3"/>
    <mergeCell ref="A10:E10"/>
    <mergeCell ref="J13:L14"/>
    <mergeCell ref="J15:L15"/>
    <mergeCell ref="J16:L16"/>
    <mergeCell ref="B17:G17"/>
    <mergeCell ref="J17:L17"/>
    <mergeCell ref="B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E23:F23"/>
    <mergeCell ref="J23:L23"/>
    <mergeCell ref="B24:G24"/>
    <mergeCell ref="J24:L24"/>
    <mergeCell ref="A25:L25"/>
    <mergeCell ref="D26:L26"/>
    <mergeCell ref="E19:L19"/>
    <mergeCell ref="E20:F20"/>
    <mergeCell ref="J20:L20"/>
    <mergeCell ref="E21:F21"/>
    <mergeCell ref="J21:L21"/>
    <mergeCell ref="E22:F22"/>
    <mergeCell ref="J22:L22"/>
    <mergeCell ref="E30:F30"/>
    <mergeCell ref="J30:L30"/>
    <mergeCell ref="B31:G31"/>
    <mergeCell ref="J31:L31"/>
    <mergeCell ref="A32:L32"/>
    <mergeCell ref="D33:L33"/>
    <mergeCell ref="E27:F27"/>
    <mergeCell ref="J27:L27"/>
    <mergeCell ref="E28:F28"/>
    <mergeCell ref="J28:L28"/>
    <mergeCell ref="E29:F29"/>
    <mergeCell ref="J29:L29"/>
    <mergeCell ref="E37:F37"/>
    <mergeCell ref="J37:L37"/>
    <mergeCell ref="B38:G38"/>
    <mergeCell ref="J38:L38"/>
    <mergeCell ref="A39:L39"/>
    <mergeCell ref="D40:L40"/>
    <mergeCell ref="E34:F34"/>
    <mergeCell ref="J34:L34"/>
    <mergeCell ref="E35:F35"/>
    <mergeCell ref="J35:L35"/>
    <mergeCell ref="E36:F36"/>
    <mergeCell ref="J36:L36"/>
    <mergeCell ref="E44:F44"/>
    <mergeCell ref="J44:L44"/>
    <mergeCell ref="B45:G45"/>
    <mergeCell ref="J45:L45"/>
    <mergeCell ref="B46:G46"/>
    <mergeCell ref="J46:L46"/>
    <mergeCell ref="E41:F41"/>
    <mergeCell ref="J41:L41"/>
    <mergeCell ref="E42:F42"/>
    <mergeCell ref="J42:L42"/>
    <mergeCell ref="E43:F43"/>
    <mergeCell ref="J43:L43"/>
    <mergeCell ref="A47:L47"/>
    <mergeCell ref="B48:L48"/>
    <mergeCell ref="E49:F49"/>
    <mergeCell ref="J49:L49"/>
    <mergeCell ref="B50:B54"/>
    <mergeCell ref="C50:C54"/>
    <mergeCell ref="D50:D52"/>
    <mergeCell ref="E50:F52"/>
    <mergeCell ref="G50:G54"/>
    <mergeCell ref="H50:H54"/>
    <mergeCell ref="B59:L59"/>
    <mergeCell ref="B60:L60"/>
    <mergeCell ref="E61:F61"/>
    <mergeCell ref="J61:L61"/>
    <mergeCell ref="F56:F57"/>
    <mergeCell ref="B58:G58"/>
    <mergeCell ref="J58:L58"/>
    <mergeCell ref="I50:I54"/>
    <mergeCell ref="J50:L54"/>
    <mergeCell ref="F53:F54"/>
    <mergeCell ref="B55:B57"/>
    <mergeCell ref="C55:C57"/>
    <mergeCell ref="E55:F55"/>
    <mergeCell ref="G55:G57"/>
    <mergeCell ref="H55:H57"/>
    <mergeCell ref="I55:I57"/>
    <mergeCell ref="J55:L57"/>
    <mergeCell ref="E71:F71"/>
    <mergeCell ref="E72:F72"/>
    <mergeCell ref="E73:F73"/>
    <mergeCell ref="E74:F74"/>
    <mergeCell ref="B75:G75"/>
    <mergeCell ref="J75:L75"/>
    <mergeCell ref="I62:I66"/>
    <mergeCell ref="J62:L66"/>
    <mergeCell ref="B67:B70"/>
    <mergeCell ref="C67:C70"/>
    <mergeCell ref="F67:F70"/>
    <mergeCell ref="G67:G70"/>
    <mergeCell ref="H67:H70"/>
    <mergeCell ref="I67:I70"/>
    <mergeCell ref="J67:L70"/>
    <mergeCell ref="B62:B66"/>
    <mergeCell ref="C62:C66"/>
    <mergeCell ref="D62:D66"/>
    <mergeCell ref="E62:F66"/>
    <mergeCell ref="G62:G66"/>
    <mergeCell ref="H62:H66"/>
    <mergeCell ref="B76:L76"/>
    <mergeCell ref="B77:L77"/>
    <mergeCell ref="J78:L78"/>
    <mergeCell ref="B79:B80"/>
    <mergeCell ref="C79:C80"/>
    <mergeCell ref="F79:F80"/>
    <mergeCell ref="G79:G80"/>
    <mergeCell ref="H79:H80"/>
    <mergeCell ref="I79:I80"/>
    <mergeCell ref="J79:L80"/>
    <mergeCell ref="E81:F81"/>
    <mergeCell ref="J81:L81"/>
    <mergeCell ref="B82:B84"/>
    <mergeCell ref="C82:C84"/>
    <mergeCell ref="F82:F84"/>
    <mergeCell ref="G82:G84"/>
    <mergeCell ref="H82:H84"/>
    <mergeCell ref="I82:I84"/>
    <mergeCell ref="J82:L84"/>
    <mergeCell ref="J85:L87"/>
    <mergeCell ref="B88:G88"/>
    <mergeCell ref="J88:L88"/>
    <mergeCell ref="B90:L90"/>
    <mergeCell ref="E91:F91"/>
    <mergeCell ref="J91:L91"/>
    <mergeCell ref="B85:B87"/>
    <mergeCell ref="C85:C87"/>
    <mergeCell ref="F85:F87"/>
    <mergeCell ref="G85:G87"/>
    <mergeCell ref="H85:H87"/>
    <mergeCell ref="I85:I87"/>
    <mergeCell ref="E95:F95"/>
    <mergeCell ref="J95:L95"/>
    <mergeCell ref="B96:G96"/>
    <mergeCell ref="J96:L96"/>
    <mergeCell ref="A97:L97"/>
    <mergeCell ref="B98:L98"/>
    <mergeCell ref="E92:F92"/>
    <mergeCell ref="J92:L92"/>
    <mergeCell ref="E93:F93"/>
    <mergeCell ref="J93:L93"/>
    <mergeCell ref="E94:F94"/>
    <mergeCell ref="J94:L94"/>
    <mergeCell ref="A102:L102"/>
    <mergeCell ref="B103:L103"/>
    <mergeCell ref="E104:F104"/>
    <mergeCell ref="J104:L104"/>
    <mergeCell ref="E105:F105"/>
    <mergeCell ref="J105:L105"/>
    <mergeCell ref="E99:F99"/>
    <mergeCell ref="J99:L99"/>
    <mergeCell ref="E100:F100"/>
    <mergeCell ref="J100:L100"/>
    <mergeCell ref="B101:G101"/>
    <mergeCell ref="J101:L101"/>
    <mergeCell ref="E111:F111"/>
    <mergeCell ref="J111:L111"/>
    <mergeCell ref="J112:L112"/>
    <mergeCell ref="B114:G114"/>
    <mergeCell ref="J114:L114"/>
    <mergeCell ref="B115:G115"/>
    <mergeCell ref="J115:L115"/>
    <mergeCell ref="E106:F106"/>
    <mergeCell ref="B107:G107"/>
    <mergeCell ref="J107:L107"/>
    <mergeCell ref="A108:L108"/>
    <mergeCell ref="E110:F110"/>
    <mergeCell ref="J110:L110"/>
    <mergeCell ref="J106:L106"/>
  </mergeCells>
  <dataValidations disablePrompts="1" xWindow="1435" yWindow="435" count="5">
    <dataValidation type="list" allowBlank="1" showInputMessage="1" showErrorMessage="1" sqref="E111" xr:uid="{09B37442-23C4-44FB-95E9-FA2E97EF0F40}">
      <formula1>"Yes,No"</formula1>
    </dataValidation>
    <dataValidation allowBlank="1" showInputMessage="1" showErrorMessage="1" promptTitle="Action Required " prompt="You must score this section manually" sqref="E42:F44" xr:uid="{E6DD5614-1D3B-40F4-B0AD-7BA8F159A250}"/>
    <dataValidation allowBlank="1" showInputMessage="1" showErrorMessage="1" promptTitle="Action Required" prompt="You must score this section manually" sqref="E35:F37" xr:uid="{E6231839-8E8E-4EEE-A198-4096B228E624}"/>
    <dataValidation type="list" allowBlank="1" showErrorMessage="1" sqref="E81" xr:uid="{3F3E312F-0D6B-40E8-8AB4-6B92970B84A1}">
      <formula1>"Yes, No"</formula1>
    </dataValidation>
    <dataValidation allowBlank="1" showErrorMessage="1" promptTitle="Action Required " prompt="You must score this section manually" sqref="E67:E74" xr:uid="{4873773A-FD60-4295-886F-49D1E9529863}"/>
  </dataValidations>
  <pageMargins left="0.7" right="0.7" top="0.75" bottom="0.75" header="0.3" footer="0.3"/>
  <pageSetup scale="43" fitToHeight="0" orientation="landscape" horizontalDpi="1200" verticalDpi="1200" r:id="rId1"/>
  <headerFooter>
    <oddFooter>&amp;LFY2022 PSH-DV Score Card 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PSH-DV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2022-08-22T16:41:25Z</dcterms:modified>
</cp:coreProperties>
</file>